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03leqD5qU2lHo1SvP+++o8H+j6eZ48O5wvvlzelGGhog6r9QcCfhywty67AVTNxbWhVNQK7HONPeyRLeCgVFVA==" workbookSaltValue="xdUNbXgIEEXIDMvnOHi65Q==" workbookSpinCount="100000" lockStructure="1"/>
  <bookViews>
    <workbookView xWindow="0" yWindow="0" windowWidth="24000" windowHeight="9135" firstSheet="4" activeTab="4"/>
  </bookViews>
  <sheets>
    <sheet name="DATOS 1" sheetId="16" state="hidden" r:id="rId1"/>
    <sheet name="DATOS " sheetId="15" state="hidden" r:id="rId2"/>
    <sheet name="RT03-F12" sheetId="8" state="hidden" r:id="rId3"/>
    <sheet name="RT03-F15 " sheetId="18" state="hidden" r:id="rId4"/>
    <sheet name="RT03-F39" sheetId="17" r:id="rId5"/>
  </sheets>
  <externalReferences>
    <externalReference r:id="rId6"/>
    <externalReference r:id="rId7"/>
    <externalReference r:id="rId8"/>
    <externalReference r:id="rId9"/>
  </externalReferences>
  <definedNames>
    <definedName name="a1_">'[1]APROXIMACION LINEL'!$C$21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1">'DATOS '!$A$1:$T$165</definedName>
    <definedName name="Print_Area" localSheetId="0">'DATOS 1'!$A$1:$T$165</definedName>
    <definedName name="Print_Area" localSheetId="2">'RT03-F12'!$A$1:$L$144</definedName>
    <definedName name="Print_Titles" localSheetId="2">'RT03-F12'!$1:$3</definedName>
    <definedName name="Print_Titles" localSheetId="3">'RT03-F15 '!$1:$1</definedName>
    <definedName name="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8" l="1"/>
  <c r="A187" i="18"/>
  <c r="D186" i="18"/>
  <c r="A186" i="18"/>
  <c r="E148" i="18"/>
  <c r="C146" i="18"/>
  <c r="A110" i="18"/>
  <c r="B106" i="18"/>
  <c r="B105" i="18"/>
  <c r="B104" i="18"/>
  <c r="B103" i="18"/>
  <c r="B102" i="18"/>
  <c r="D91" i="18"/>
  <c r="C91" i="18"/>
  <c r="B91" i="18"/>
  <c r="A91" i="18"/>
  <c r="D90" i="18"/>
  <c r="C90" i="18"/>
  <c r="B90" i="18"/>
  <c r="A90" i="18"/>
  <c r="D89" i="18"/>
  <c r="C89" i="18"/>
  <c r="B89" i="18"/>
  <c r="A89" i="18"/>
  <c r="D88" i="18"/>
  <c r="C88" i="18"/>
  <c r="B88" i="18"/>
  <c r="A88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D84" i="18"/>
  <c r="C84" i="18"/>
  <c r="B84" i="18"/>
  <c r="A84" i="18"/>
  <c r="D83" i="18"/>
  <c r="C83" i="18"/>
  <c r="B83" i="18"/>
  <c r="A83" i="18"/>
  <c r="D82" i="18"/>
  <c r="C82" i="18"/>
  <c r="B82" i="18"/>
  <c r="A82" i="18"/>
  <c r="A80" i="18"/>
  <c r="A70" i="18"/>
  <c r="B69" i="18"/>
  <c r="A69" i="18"/>
  <c r="B68" i="18"/>
  <c r="A68" i="18"/>
  <c r="B67" i="18"/>
  <c r="A67" i="18"/>
  <c r="B66" i="18"/>
  <c r="A66" i="18"/>
  <c r="B65" i="18"/>
  <c r="A65" i="18"/>
  <c r="B64" i="18"/>
  <c r="A64" i="18"/>
  <c r="C63" i="18"/>
  <c r="A63" i="18"/>
  <c r="C41" i="18"/>
  <c r="A41" i="18"/>
  <c r="C12" i="18"/>
  <c r="C11" i="18"/>
  <c r="C10" i="18"/>
  <c r="D183" i="17" l="1"/>
  <c r="A183" i="17"/>
  <c r="D182" i="17"/>
  <c r="A182" i="17"/>
  <c r="E148" i="17"/>
  <c r="C146" i="17"/>
  <c r="A110" i="17"/>
  <c r="B106" i="17"/>
  <c r="B105" i="17"/>
  <c r="B104" i="17"/>
  <c r="B103" i="17"/>
  <c r="B102" i="17"/>
  <c r="D91" i="17"/>
  <c r="C91" i="17"/>
  <c r="B91" i="17"/>
  <c r="A91" i="17"/>
  <c r="D90" i="17"/>
  <c r="C90" i="17"/>
  <c r="B90" i="17"/>
  <c r="A90" i="17"/>
  <c r="D89" i="17"/>
  <c r="C89" i="17"/>
  <c r="B89" i="17"/>
  <c r="A89" i="17"/>
  <c r="D88" i="17"/>
  <c r="C88" i="17"/>
  <c r="B88" i="17"/>
  <c r="A88" i="17"/>
  <c r="D87" i="17"/>
  <c r="C87" i="17"/>
  <c r="B87" i="17"/>
  <c r="A87" i="17"/>
  <c r="D86" i="17"/>
  <c r="C86" i="17"/>
  <c r="B86" i="17"/>
  <c r="A86" i="17"/>
  <c r="D85" i="17"/>
  <c r="C85" i="17"/>
  <c r="B85" i="17"/>
  <c r="A85" i="17"/>
  <c r="D84" i="17"/>
  <c r="C84" i="17"/>
  <c r="B84" i="17"/>
  <c r="A84" i="17"/>
  <c r="D83" i="17"/>
  <c r="C83" i="17"/>
  <c r="B83" i="17"/>
  <c r="A83" i="17"/>
  <c r="D82" i="17"/>
  <c r="C82" i="17"/>
  <c r="B82" i="17"/>
  <c r="A82" i="17"/>
  <c r="A8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C63" i="17"/>
  <c r="A63" i="17"/>
  <c r="C41" i="17"/>
  <c r="A41" i="17"/>
  <c r="C12" i="17"/>
  <c r="C11" i="17"/>
  <c r="C10" i="17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6" i="8"/>
  <c r="F15" i="17" l="1"/>
  <c r="F15" i="18"/>
  <c r="F2" i="17"/>
  <c r="F43" i="17" s="1"/>
  <c r="F2" i="18"/>
  <c r="P114" i="15"/>
  <c r="F76" i="17" l="1"/>
  <c r="F150" i="17"/>
  <c r="F108" i="17"/>
  <c r="F150" i="18"/>
  <c r="F43" i="18"/>
  <c r="F76" i="18"/>
  <c r="F108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I102" i="8"/>
  <c r="L32" i="8"/>
  <c r="K65" i="8"/>
  <c r="J28" i="8"/>
  <c r="G28" i="8"/>
  <c r="E28" i="8"/>
  <c r="C28" i="8"/>
  <c r="I23" i="8"/>
  <c r="H78" i="8" s="1"/>
  <c r="R145" i="15"/>
  <c r="Q145" i="15"/>
  <c r="P145" i="15"/>
  <c r="R135" i="15"/>
  <c r="Q135" i="15"/>
  <c r="P135" i="15"/>
  <c r="R125" i="15"/>
  <c r="Q125" i="15"/>
  <c r="P125" i="15"/>
  <c r="R114" i="15"/>
  <c r="J29" i="8" s="1"/>
  <c r="Q114" i="15"/>
  <c r="H29" i="8" s="1"/>
  <c r="E29" i="8"/>
  <c r="R103" i="15"/>
  <c r="Q103" i="15"/>
  <c r="P103" i="15"/>
  <c r="B6" i="8"/>
  <c r="B160" i="15"/>
  <c r="H6" i="8"/>
  <c r="C6" i="18" s="1"/>
  <c r="G6" i="8"/>
  <c r="C5" i="18" s="1"/>
  <c r="E6" i="8"/>
  <c r="D6" i="8"/>
  <c r="C24" i="18" s="1"/>
  <c r="C6" i="8"/>
  <c r="C15" i="18" s="1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78" i="8" s="1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2" i="18" s="1"/>
  <c r="D14" i="8"/>
  <c r="C21" i="18" s="1"/>
  <c r="D13" i="8"/>
  <c r="C20" i="18" s="1"/>
  <c r="D12" i="8"/>
  <c r="C19" i="18" s="1"/>
  <c r="D11" i="8"/>
  <c r="D10" i="8"/>
  <c r="D9" i="8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F37" i="8"/>
  <c r="E37" i="8"/>
  <c r="D37" i="8"/>
  <c r="C37" i="8"/>
  <c r="A104" i="18" l="1"/>
  <c r="A113" i="18"/>
  <c r="A104" i="17"/>
  <c r="A113" i="17"/>
  <c r="A112" i="18"/>
  <c r="A103" i="18"/>
  <c r="A112" i="17"/>
  <c r="A103" i="17"/>
  <c r="D80" i="18"/>
  <c r="D80" i="17"/>
  <c r="B80" i="18"/>
  <c r="B80" i="17"/>
  <c r="B49" i="8"/>
  <c r="C80" i="18"/>
  <c r="C80" i="17"/>
  <c r="G34" i="8"/>
  <c r="B63" i="18"/>
  <c r="B63" i="17"/>
  <c r="C54" i="18"/>
  <c r="C54" i="17"/>
  <c r="C55" i="18"/>
  <c r="C55" i="17"/>
  <c r="C56" i="18"/>
  <c r="C56" i="17"/>
  <c r="A111" i="18"/>
  <c r="A102" i="18"/>
  <c r="A111" i="17"/>
  <c r="A102" i="17"/>
  <c r="E38" i="8"/>
  <c r="C67" i="18"/>
  <c r="C67" i="17"/>
  <c r="F38" i="8"/>
  <c r="C68" i="18"/>
  <c r="C68" i="17"/>
  <c r="D38" i="8"/>
  <c r="C66" i="18"/>
  <c r="C66" i="17"/>
  <c r="C38" i="8"/>
  <c r="C65" i="18"/>
  <c r="C65" i="17"/>
  <c r="G38" i="8"/>
  <c r="C69" i="18"/>
  <c r="C69" i="17"/>
  <c r="C49" i="18"/>
  <c r="C49" i="17"/>
  <c r="B49" i="18"/>
  <c r="B49" i="17"/>
  <c r="A49" i="18"/>
  <c r="A49" i="17"/>
  <c r="C20" i="17"/>
  <c r="C15" i="17"/>
  <c r="C5" i="17"/>
  <c r="C21" i="17"/>
  <c r="C24" i="17"/>
  <c r="C6" i="17"/>
  <c r="C19" i="17"/>
  <c r="C22" i="17"/>
  <c r="G80" i="8"/>
  <c r="B48" i="8"/>
  <c r="I80" i="8"/>
  <c r="G70" i="8"/>
  <c r="F48" i="8"/>
  <c r="H74" i="8" s="1"/>
  <c r="G75" i="8"/>
  <c r="C39" i="8"/>
  <c r="F78" i="8"/>
  <c r="J126" i="8"/>
  <c r="B50" i="8"/>
  <c r="F75" i="8"/>
  <c r="H75" i="8"/>
  <c r="J75" i="8"/>
  <c r="I75" i="8"/>
  <c r="I79" i="8"/>
  <c r="H80" i="8"/>
  <c r="K56" i="8"/>
  <c r="D56" i="8"/>
  <c r="I70" i="8"/>
  <c r="H79" i="8"/>
  <c r="D57" i="8"/>
  <c r="K57" i="8"/>
  <c r="B58" i="8"/>
  <c r="H25" i="8"/>
  <c r="B59" i="8" s="1"/>
  <c r="K55" i="8"/>
  <c r="D55" i="8"/>
  <c r="G78" i="8"/>
  <c r="I25" i="8"/>
  <c r="F80" i="8"/>
  <c r="G25" i="8"/>
  <c r="H70" i="8"/>
  <c r="K58" i="8" l="1"/>
  <c r="A105" i="18"/>
  <c r="A114" i="18"/>
  <c r="A105" i="17"/>
  <c r="A114" i="17"/>
  <c r="A106" i="18"/>
  <c r="A115" i="18"/>
  <c r="A106" i="17"/>
  <c r="A115" i="17"/>
  <c r="B113" i="18"/>
  <c r="B113" i="17"/>
  <c r="B114" i="18"/>
  <c r="B114" i="17"/>
  <c r="B112" i="18"/>
  <c r="B112" i="17"/>
  <c r="C103" i="18"/>
  <c r="C103" i="17"/>
  <c r="C104" i="18"/>
  <c r="C104" i="17"/>
  <c r="C102" i="18"/>
  <c r="C102" i="17"/>
  <c r="B111" i="18"/>
  <c r="B111" i="17"/>
  <c r="B70" i="18"/>
  <c r="B70" i="17"/>
  <c r="G81" i="8"/>
  <c r="I81" i="8"/>
  <c r="I95" i="8" s="1"/>
  <c r="F81" i="8"/>
  <c r="F95" i="8" s="1"/>
  <c r="G74" i="8"/>
  <c r="I74" i="8"/>
  <c r="J74" i="8"/>
  <c r="F74" i="8"/>
  <c r="E118" i="8"/>
  <c r="E119" i="8" s="1"/>
  <c r="E57" i="8"/>
  <c r="H81" i="8"/>
  <c r="H95" i="8" s="1"/>
  <c r="F73" i="8"/>
  <c r="G73" i="8"/>
  <c r="G76" i="8" s="1"/>
  <c r="G90" i="8" s="1"/>
  <c r="I73" i="8"/>
  <c r="I76" i="8" s="1"/>
  <c r="I90" i="8" s="1"/>
  <c r="J73" i="8"/>
  <c r="J76" i="8" s="1"/>
  <c r="J90" i="8" s="1"/>
  <c r="H73" i="8"/>
  <c r="H76" i="8" s="1"/>
  <c r="E56" i="8"/>
  <c r="L56" i="8"/>
  <c r="D59" i="8"/>
  <c r="K59" i="8"/>
  <c r="L57" i="8"/>
  <c r="D58" i="8"/>
  <c r="G95" i="8"/>
  <c r="L58" i="8"/>
  <c r="L55" i="8"/>
  <c r="J70" i="8"/>
  <c r="J130" i="8"/>
  <c r="J80" i="8"/>
  <c r="J78" i="8"/>
  <c r="J79" i="8"/>
  <c r="E55" i="8"/>
  <c r="B115" i="18" l="1"/>
  <c r="B115" i="17"/>
  <c r="C106" i="18"/>
  <c r="C106" i="17"/>
  <c r="C105" i="18"/>
  <c r="C105" i="17"/>
  <c r="H83" i="8"/>
  <c r="A112" i="8" s="1"/>
  <c r="F76" i="8"/>
  <c r="F90" i="8" s="1"/>
  <c r="I83" i="8"/>
  <c r="A113" i="8" s="1"/>
  <c r="C113" i="8" s="1"/>
  <c r="H90" i="8"/>
  <c r="G83" i="8"/>
  <c r="G97" i="8" s="1"/>
  <c r="G100" i="8" s="1"/>
  <c r="G104" i="8" s="1"/>
  <c r="G105" i="8" s="1"/>
  <c r="C112" i="18" s="1"/>
  <c r="E58" i="8"/>
  <c r="L59" i="8"/>
  <c r="E59" i="8"/>
  <c r="J81" i="8"/>
  <c r="C112" i="17" l="1"/>
  <c r="H97" i="8"/>
  <c r="H100" i="8" s="1"/>
  <c r="H104" i="8" s="1"/>
  <c r="H105" i="8" s="1"/>
  <c r="C113" i="18" s="1"/>
  <c r="B113" i="8"/>
  <c r="I97" i="8"/>
  <c r="I100" i="8" s="1"/>
  <c r="I104" i="8" s="1"/>
  <c r="I105" i="8" s="1"/>
  <c r="C114" i="18" s="1"/>
  <c r="F83" i="8"/>
  <c r="A111" i="8"/>
  <c r="B111" i="8" s="1"/>
  <c r="C112" i="8"/>
  <c r="B112" i="8"/>
  <c r="J95" i="8"/>
  <c r="J83" i="8"/>
  <c r="C113" i="17" l="1"/>
  <c r="C114" i="17"/>
  <c r="C111" i="8"/>
  <c r="A110" i="8"/>
  <c r="F97" i="8"/>
  <c r="F100" i="8" s="1"/>
  <c r="F104" i="8" s="1"/>
  <c r="F105" i="8" s="1"/>
  <c r="C111" i="18" s="1"/>
  <c r="A114" i="8"/>
  <c r="J97" i="8"/>
  <c r="J100" i="8" s="1"/>
  <c r="C111" i="17" l="1"/>
  <c r="G119" i="8"/>
  <c r="C110" i="8"/>
  <c r="B110" i="8"/>
  <c r="J104" i="8"/>
  <c r="J105" i="8" s="1"/>
  <c r="C115" i="18" s="1"/>
  <c r="B114" i="8"/>
  <c r="C114" i="8"/>
  <c r="C115" i="17" l="1"/>
  <c r="C115" i="8"/>
  <c r="B119" i="8" s="1"/>
  <c r="G133" i="8" s="1"/>
  <c r="B115" i="8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C143" i="18" s="1"/>
  <c r="C143" i="17" l="1"/>
  <c r="G115" i="8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3" i="8" l="1"/>
  <c r="F139" i="8" s="1"/>
  <c r="D122" i="8"/>
  <c r="H139" i="8" s="1"/>
  <c r="K126" i="8"/>
  <c r="H123" i="8" l="1"/>
  <c r="F140" i="8"/>
  <c r="B148" i="18" s="1"/>
  <c r="H140" i="8"/>
  <c r="D148" i="18" s="1"/>
  <c r="D148" i="17" l="1"/>
  <c r="B148" i="17"/>
</calcChain>
</file>

<file path=xl/sharedStrings.xml><?xml version="1.0" encoding="utf-8"?>
<sst xmlns="http://schemas.openxmlformats.org/spreadsheetml/2006/main" count="1360" uniqueCount="466">
  <si>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</si>
  <si>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</si>
  <si>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</si>
  <si>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</si>
  <si>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</si>
  <si>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</si>
  <si>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</si>
  <si>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</si>
  <si>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</si>
  <si>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</si>
  <si>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</si>
  <si>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</si>
  <si>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</si>
  <si>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</si>
  <si>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</si>
  <si>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</si>
  <si>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</si>
  <si>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</si>
  <si>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</si>
  <si>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</si>
  <si>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</si>
  <si>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</si>
  <si>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</si>
  <si>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</si>
  <si>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</si>
  <si>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</si>
  <si>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</si>
  <si>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</si>
  <si>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</si>
  <si>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</si>
  <si>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</si>
  <si>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</si>
  <si>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</si>
  <si>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</si>
  <si>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</si>
  <si>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</si>
  <si>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</si>
  <si>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</si>
  <si>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</si>
  <si>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</si>
  <si>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</si>
  <si>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</si>
  <si>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</si>
  <si>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</si>
  <si>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</si>
  <si>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</si>
  <si>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</si>
  <si>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</si>
  <si>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</si>
  <si>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</si>
  <si>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</si>
  <si>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</si>
  <si>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</si>
  <si>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</si>
  <si>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</si>
  <si>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</si>
  <si>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</si>
  <si>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</si>
  <si>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</si>
  <si>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</si>
  <si>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</si>
  <si>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</si>
  <si>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</si>
  <si>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</si>
  <si>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</si>
  <si>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</si>
  <si>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</si>
  <si>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</si>
  <si>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</si>
  <si>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>u(mg)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</si>
  <si>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</si>
  <si>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</si>
  <si>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</si>
  <si>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</si>
  <si>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</si>
  <si>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</si>
  <si>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</si>
  <si>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</si>
  <si>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</si>
  <si>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</si>
  <si>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</si>
  <si>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</si>
  <si>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</si>
  <si>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</si>
  <si>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</si>
  <si>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</si>
  <si>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</si>
  <si>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</si>
  <si>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</si>
  <si>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</si>
  <si>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</si>
  <si>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</si>
  <si>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</si>
  <si>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</si>
  <si>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</si>
  <si>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</si>
  <si>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</si>
  <si>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</si>
  <si>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</si>
  <si>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</si>
  <si>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</si>
  <si>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</si>
  <si>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</si>
  <si>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</si>
  <si>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</si>
  <si>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</si>
  <si>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</si>
  <si>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</si>
  <si>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</si>
  <si>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</si>
  <si>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</si>
  <si>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</si>
  <si>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</si>
  <si>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</si>
  <si>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</si>
  <si>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</si>
  <si>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</si>
  <si>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</si>
  <si>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>K =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</si>
  <si>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</si>
  <si>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</si>
  <si>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</si>
  <si>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</si>
  <si>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</si>
  <si>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</si>
  <si>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>4.   MÉTODO DE CALIBRACIÓN UTILIZADO</t>
  </si>
  <si>
    <t>5.   PROCEDIMIENTO DE CALIBRACIÓN</t>
  </si>
  <si>
    <t>9.   TRAZABILIDAD DEL PATRON QUE SE USO EN LA CALIBRACIÓN.</t>
  </si>
  <si>
    <t>10.   RESULTADOS DE MEDICIÓN.</t>
  </si>
  <si>
    <t>mg</t>
  </si>
  <si>
    <t>7.   CONDICIONES DE MEDICIÓN:</t>
  </si>
  <si>
    <t xml:space="preserve">12.   INCERTIDUMBRE EXPANDIDA DE LOS ERRORES   </t>
  </si>
  <si>
    <t>14.   OBSERVACIONES</t>
  </si>
  <si>
    <t xml:space="preserve">    ______________________________</t>
  </si>
  <si>
    <t>E (R)  (mg) =</t>
  </si>
  <si>
    <t xml:space="preserve">                    Firma Autorizada</t>
  </si>
  <si>
    <t>………………………………..FIN DE ESTE DOCUMENTO………………………………..</t>
  </si>
  <si>
    <t>FECHA DE CALIBRACIÓN</t>
  </si>
  <si>
    <t>CLASE DE PESAS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</si>
  <si>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</si>
  <si>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</si>
  <si>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</si>
  <si>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</si>
  <si>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</si>
  <si>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</si>
  <si>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</si>
  <si>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</si>
  <si>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</si>
  <si>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</si>
  <si>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</si>
  <si>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</si>
  <si>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</si>
  <si>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</si>
  <si>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13.   INCERTIDUMBRE DE LA MEDICIÓN.</t>
  </si>
  <si>
    <t>Indicación 1(g)</t>
  </si>
  <si>
    <t>11.   MODELO MATEMÁTICO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</si>
  <si>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</si>
  <si>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</si>
  <si>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</si>
  <si>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</si>
  <si>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</si>
  <si>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</si>
  <si>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</si>
  <si>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</si>
  <si>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</si>
  <si>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</si>
  <si>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</si>
  <si>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</si>
  <si>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</si>
  <si>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</si>
  <si>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</si>
  <si>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</si>
  <si>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</si>
  <si>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</si>
  <si>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</si>
  <si>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</si>
  <si>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</si>
  <si>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</si>
  <si>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</si>
  <si>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</si>
  <si>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</si>
  <si>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</si>
  <si>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</si>
  <si>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</si>
  <si>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</si>
  <si>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</si>
  <si>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</si>
  <si>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</si>
  <si>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</si>
  <si>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</si>
  <si>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</si>
  <si>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</si>
  <si>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</si>
  <si>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</si>
  <si>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</si>
  <si>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</si>
  <si>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</si>
  <si>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</si>
  <si>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</si>
  <si>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</si>
  <si>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</si>
  <si>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</si>
  <si>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</si>
  <si>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</si>
  <si>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</si>
  <si>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</si>
  <si>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</si>
  <si>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</si>
  <si>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</si>
  <si>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</si>
  <si>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</si>
  <si>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</si>
  <si>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</si>
  <si>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</si>
  <si>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</si>
  <si>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</si>
  <si>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</si>
  <si>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</si>
  <si>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</si>
  <si>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</si>
  <si>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</si>
  <si>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</si>
  <si>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</si>
  <si>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</si>
  <si>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</si>
  <si>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</si>
  <si>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</si>
  <si>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</si>
  <si>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</si>
  <si>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</si>
  <si>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</si>
  <si>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</si>
  <si>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</si>
  <si>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</si>
  <si>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</si>
  <si>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</si>
  <si>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</si>
  <si>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</si>
  <si>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</si>
  <si>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</si>
  <si>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</si>
  <si>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</si>
  <si>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</si>
  <si>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</si>
  <si>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</si>
  <si>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</si>
  <si>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</si>
  <si>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</si>
  <si>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</si>
  <si>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</si>
  <si>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</si>
  <si>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</si>
  <si>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</si>
  <si>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</si>
  <si>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</si>
  <si>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</si>
  <si>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</si>
  <si>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</si>
  <si>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</si>
  <si>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</si>
  <si>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</si>
  <si>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</si>
  <si>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</si>
  <si>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</si>
  <si>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</si>
  <si>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</si>
  <si>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</si>
  <si>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</si>
  <si>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</si>
  <si>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</si>
  <si>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</si>
  <si>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</si>
  <si>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</si>
  <si>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</si>
  <si>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</si>
  <si>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</si>
  <si>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</si>
  <si>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</si>
  <si>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</si>
  <si>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</si>
  <si>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</si>
  <si>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</si>
  <si>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</si>
  <si>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</si>
  <si>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</si>
  <si>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</si>
  <si>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</si>
  <si>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</si>
  <si>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</si>
  <si>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</si>
  <si>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</si>
  <si>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</si>
  <si>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</si>
  <si>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</si>
  <si>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</si>
  <si>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</si>
  <si>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</si>
  <si>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</si>
  <si>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</si>
  <si>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</si>
  <si>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</si>
  <si>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</si>
  <si>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</si>
  <si>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</si>
  <si>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</si>
  <si>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</si>
  <si>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</si>
  <si>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</si>
  <si>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</si>
  <si>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</si>
  <si>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</si>
  <si>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</si>
  <si>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</si>
  <si>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</si>
  <si>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</si>
  <si>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</si>
  <si>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</si>
  <si>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</si>
  <si>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</si>
  <si>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</si>
  <si>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</si>
  <si>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</si>
  <si>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</si>
  <si>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</si>
  <si>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</si>
  <si>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</si>
  <si>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</si>
  <si>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</si>
  <si>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</si>
  <si>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</si>
  <si>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</si>
  <si>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</si>
  <si>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Bogotá. D.C.</t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</si>
  <si>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</si>
  <si>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</si>
  <si>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</si>
  <si>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</si>
  <si>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</si>
  <si>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</si>
  <si>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</si>
  <si>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8.   CONDICIONES AMBIENTALES CORREGIDAS.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</si>
  <si>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</si>
  <si>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</si>
  <si>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</si>
  <si>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</si>
  <si>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</si>
  <si>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</si>
  <si>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</si>
  <si>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</si>
  <si>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</si>
  <si>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</si>
  <si>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</si>
  <si>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</si>
  <si>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</si>
  <si>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</si>
  <si>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</si>
  <si>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</si>
  <si>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</si>
  <si>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</si>
  <si>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</si>
  <si>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</si>
  <si>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</si>
  <si>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</si>
  <si>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</si>
  <si>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</si>
  <si>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</si>
  <si>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</si>
  <si>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</si>
  <si>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</si>
  <si>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</si>
  <si>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</si>
  <si>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</si>
  <si>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</si>
  <si>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</si>
  <si>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</si>
  <si>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</si>
  <si>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</si>
  <si>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</si>
  <si>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</si>
  <si>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</si>
  <si>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</si>
  <si>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 xml:space="preserve">La prueba para los errores de las indicaciones se realizó según el numeral  5,2. de la Guía SIM MWG7/cg-01/v.00 </t>
  </si>
  <si>
    <t>Error de Indicación en g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</si>
  <si>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</si>
  <si>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</si>
  <si>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</si>
  <si>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</si>
  <si>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</si>
  <si>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</si>
  <si>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</si>
  <si>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</si>
  <si>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</si>
  <si>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</si>
  <si>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</si>
  <si>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</si>
  <si>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E (R) (g ) =</t>
  </si>
  <si>
    <t>2.   CÓDIGO INTERNO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</si>
  <si>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</si>
  <si>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</si>
  <si>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</si>
  <si>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</si>
  <si>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</si>
  <si>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</si>
  <si>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</si>
  <si>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</si>
  <si>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</si>
  <si>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</si>
  <si>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>2018-06-07 - 2018-06-13 -    2016-09-12</t>
  </si>
  <si>
    <t>INM  3392- 3399-2149</t>
  </si>
  <si>
    <t>2018-06-07 - 2018-06-13 -    2016-10-28</t>
  </si>
  <si>
    <t>INM-3391, INM 3398 - CDT CERT-16-EMP-1056-2567</t>
  </si>
  <si>
    <t>2018-06-15 - 2018-06-15 -    2016-10-28</t>
  </si>
  <si>
    <t>INM 3411 - INM 3412 -  CERT-16-EMP-1057-2567</t>
  </si>
  <si>
    <t>INM 3375 - INM 3381 -   2148</t>
  </si>
  <si>
    <t>2018/06/15- 2018/06/15-    2016-09-12</t>
  </si>
  <si>
    <t>2018-06-01 - 2018-06-06 -    2016-09-12</t>
  </si>
  <si>
    <t>INM-3374-INM 3379-2147</t>
  </si>
  <si>
    <t>El equipo se encuentra en buenas condiciones</t>
  </si>
  <si>
    <t xml:space="preserve"> Juego Patrón de Referencia</t>
  </si>
  <si>
    <t>Juego patrón de Trabajo 1</t>
  </si>
  <si>
    <t>Patrón de Trabajo</t>
  </si>
  <si>
    <t>Juego patrón de Trabajo 2</t>
  </si>
  <si>
    <t>Patrón Utilizado en la Calibración - Termo higrómetros</t>
  </si>
  <si>
    <t>Código Interno</t>
  </si>
  <si>
    <t>Presión Atmosférica</t>
  </si>
  <si>
    <t>Metrólogos</t>
  </si>
  <si>
    <t>Nombre del Metrologó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</si>
  <si>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</si>
  <si>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</si>
  <si>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</si>
  <si>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</si>
  <si>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</si>
  <si>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</si>
  <si>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</si>
  <si>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Balanza Digital</t>
  </si>
  <si>
    <t>1405 DK</t>
  </si>
  <si>
    <t>Sustituto Dir Técnico</t>
  </si>
  <si>
    <t xml:space="preserve"> Director Técnico</t>
  </si>
  <si>
    <t>Metrólogo de Masa y Volumen</t>
  </si>
  <si>
    <t>NC 95,45%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</si>
  <si>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</si>
  <si>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</si>
  <si>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</si>
  <si>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</si>
  <si>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</si>
  <si>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</si>
  <si>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Óptimas</t>
  </si>
  <si>
    <t>+</t>
  </si>
  <si>
    <r>
      <rPr>
        <b/>
        <i/>
        <sz val="12"/>
        <color theme="1"/>
        <rFont val="Arial"/>
        <family val="2"/>
      </rPr>
      <t>W</t>
    </r>
    <r>
      <rPr>
        <sz val="12"/>
        <color theme="1"/>
        <rFont val="Arial"/>
        <family val="2"/>
      </rPr>
      <t xml:space="preserve"> </t>
    </r>
    <r>
      <rPr>
        <b/>
        <i/>
        <sz val="12"/>
        <color theme="1"/>
        <rFont val="Arial"/>
        <family val="2"/>
      </rPr>
      <t>*</t>
    </r>
  </si>
  <si>
    <t>Medición en condición de calibración</t>
  </si>
  <si>
    <t>• Revisar periódicamente el comportamiento de la balanza mediante el control de pesas calibradas.
• El desplazamiento de la  balanza a otro lugar con otras condiciones puede invalidar la calibración.
• La conformidad del equipo es responsabilidad del usuario, según el uso y tolerancias establecidas en los procesos.
• La balanza debe ubicarse en una base apropiada para evitar vibraciones.
• En este certificado el signo decimal es la coma (,).
• Revisar periódicamente el comportamiento de la balanza mediante el control de pesas calibrada
• El desplazamiento de la  balanza a otro lugar con otras condiciones puede invalidar la calibración
• La conformidad del equipo es responsabilidad del usuario según el uso y tolerancias establecidas en los procesos.
• La balanza debe ubicarse en una base apropiada para evitar vibraciones.
• En este certificado el signo decimal es la coma (,).
• El usuario está obligado a calibrar sus instrumentos a intervalos apropiados.</t>
  </si>
  <si>
    <t>Para la calibración de balanzas se utilizó, la guía para la calibración de los instrumentos para pesaje de funcionamiento no automático (SIM MWG7/cg-01v.00) y el procedimiento interno RT03-P05, versión: 3, aplicando las siguientes pruebas: excentricidad, repetibilidad y error de indicación.</t>
  </si>
  <si>
    <t>Suplemento de Certificado N°</t>
  </si>
  <si>
    <t>Este suplemento de certificado de calibración documenta que el instrumento se examinó y  se comparó en las instalaciones del usuario. Los patrones empleados en la calibración, documentan la trazabilidad conforme  al Sistema Internacional de Unidades (SI).</t>
  </si>
  <si>
    <r>
      <t xml:space="preserve">3.   RESULTADOS DEL EXAMEN FÍSICO </t>
    </r>
    <r>
      <rPr>
        <sz val="12"/>
        <color theme="1"/>
        <rFont val="Arial"/>
        <family val="2"/>
      </rPr>
      <t xml:space="preserve">         </t>
    </r>
  </si>
  <si>
    <t>6.   LUGAR Y DIRECCIÓN DE CALIBRACIÓN</t>
  </si>
  <si>
    <r>
      <rPr>
        <b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>: Las condiciones ambientales se refieren al sitio y momento de la calibración.</t>
    </r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</si>
  <si>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</si>
  <si>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REPETICIÓN. N°</t>
  </si>
  <si>
    <t xml:space="preserve">       Calibrado por:</t>
  </si>
  <si>
    <t xml:space="preserve"> Certificado N°</t>
  </si>
  <si>
    <t xml:space="preserve"> Fecha de elaboración: </t>
  </si>
  <si>
    <t>El equipo se encuentra en buenas condiciones.</t>
  </si>
  <si>
    <t>Este certificado de calibración documenta que el instrumento se examinó y  se comparó en las instalaciones del usuario. Los patrones empleados en la calibración, documentan la trazabilidad conforme  al Sistema Internacional de Unidades (SI).</t>
  </si>
  <si>
    <t>DESPUÉS DE AJUSTE</t>
  </si>
  <si>
    <r>
      <t xml:space="preserve">La incertidumbre reportada corresponde a la incertidumbre de medición expandida que resulta de la incertidumbre combinada,  multiplicada por el factor de cobertura K= 2,  evaluada según la guía </t>
    </r>
    <r>
      <rPr>
        <b/>
        <sz val="12"/>
        <color theme="0"/>
        <rFont val="Arial"/>
        <family val="2"/>
      </rPr>
      <t>SIM MWG7/cg-01/v.00.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</si>
</sst>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1055">
    <xf numFmtId="0" fontId="0" fillId="0" borderId="0" xfId="0"/>
    <xf numFmtId="2" fontId="8" fillId="0" borderId="0" xfId="0" applyNumberFormat="1" applyFo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Protection="1">
      <protection hidden="1"/>
    </xf>
    <xf numFmtId="2" fontId="8" fillId="2" borderId="0" xfId="0" applyNumberFormat="1" applyFont="1" applyFill="1" applyBorder="1" applyProtection="1">
      <protection hidden="1"/>
    </xf>
    <xf numFmtId="2" fontId="8" fillId="0" borderId="0" xfId="0" applyNumberFormat="1" applyFont="1" applyFill="1" applyBorder="1" applyProtection="1">
      <protection hidden="1"/>
    </xf>
    <xf numFmtId="2" fontId="8" fillId="2" borderId="0" xfId="0" applyNumberFormat="1" applyFont="1" applyFill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2" applyNumberFormat="1" applyFont="1" applyFill="1" applyBorder="1" applyAlignment="1" applyProtection="1">
      <alignment vertical="center"/>
      <protection hidden="1"/>
    </xf>
    <xf numFmtId="2" fontId="10" fillId="0" borderId="0" xfId="2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vertical="center"/>
      <protection hidden="1"/>
    </xf>
    <xf numFmtId="2" fontId="10" fillId="0" borderId="0" xfId="2" applyNumberFormat="1" applyFont="1" applyFill="1" applyBorder="1" applyAlignment="1" applyProtection="1">
      <protection hidden="1"/>
    </xf>
    <xf numFmtId="2" fontId="8" fillId="0" borderId="0" xfId="0" applyNumberFormat="1" applyFont="1" applyAlignment="1" applyProtection="1">
      <alignment vertical="center"/>
      <protection hidden="1"/>
    </xf>
    <xf numFmtId="2" fontId="10" fillId="0" borderId="0" xfId="2" applyNumberFormat="1" applyFont="1" applyFill="1" applyBorder="1" applyAlignment="1" applyProtection="1">
      <alignment horizontal="center"/>
      <protection hidden="1"/>
    </xf>
    <xf numFmtId="2" fontId="10" fillId="0" borderId="0" xfId="2" applyNumberFormat="1" applyFont="1" applyFill="1" applyBorder="1" applyProtection="1"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2" fontId="9" fillId="6" borderId="18" xfId="2" applyNumberFormat="1" applyFont="1" applyFill="1" applyBorder="1" applyAlignment="1" applyProtection="1">
      <protection hidden="1"/>
    </xf>
    <xf numFmtId="2" fontId="9" fillId="6" borderId="20" xfId="2" applyNumberFormat="1" applyFont="1" applyFill="1" applyBorder="1" applyAlignment="1" applyProtection="1">
      <protection hidden="1"/>
    </xf>
    <xf numFmtId="2" fontId="10" fillId="6" borderId="20" xfId="2" applyNumberFormat="1" applyFont="1" applyFill="1" applyBorder="1" applyAlignment="1" applyProtection="1">
      <alignment horizontal="center"/>
      <protection hidden="1"/>
    </xf>
    <xf numFmtId="2" fontId="8" fillId="6" borderId="3" xfId="0" applyNumberFormat="1" applyFont="1" applyFill="1" applyBorder="1" applyAlignment="1" applyProtection="1">
      <alignment vertical="center"/>
      <protection hidden="1"/>
    </xf>
    <xf numFmtId="2" fontId="8" fillId="6" borderId="1" xfId="0" applyNumberFormat="1" applyFont="1" applyFill="1" applyBorder="1" applyAlignment="1" applyProtection="1">
      <alignment vertical="center"/>
      <protection hidden="1"/>
    </xf>
    <xf numFmtId="2" fontId="9" fillId="6" borderId="3" xfId="2" applyNumberFormat="1" applyFont="1" applyFill="1" applyBorder="1" applyAlignment="1" applyProtection="1">
      <alignment vertical="center" wrapText="1"/>
      <protection hidden="1"/>
    </xf>
    <xf numFmtId="2" fontId="9" fillId="6" borderId="1" xfId="2" applyNumberFormat="1" applyFont="1" applyFill="1" applyBorder="1" applyAlignment="1" applyProtection="1">
      <alignment vertical="center" wrapText="1"/>
      <protection hidden="1"/>
    </xf>
    <xf numFmtId="2" fontId="9" fillId="6" borderId="27" xfId="2" applyNumberFormat="1" applyFont="1" applyFill="1" applyBorder="1" applyAlignment="1" applyProtection="1">
      <alignment horizontal="center"/>
      <protection hidden="1"/>
    </xf>
    <xf numFmtId="2" fontId="9" fillId="6" borderId="31" xfId="2" applyNumberFormat="1" applyFont="1" applyFill="1" applyBorder="1" applyAlignment="1" applyProtection="1">
      <alignment horizontal="center"/>
      <protection hidden="1"/>
    </xf>
    <xf numFmtId="2" fontId="8" fillId="6" borderId="20" xfId="0" applyNumberFormat="1" applyFont="1" applyFill="1" applyBorder="1" applyAlignment="1" applyProtection="1">
      <alignment vertical="center"/>
      <protection hidden="1"/>
    </xf>
    <xf numFmtId="2" fontId="8" fillId="6" borderId="27" xfId="0" applyNumberFormat="1" applyFont="1" applyFill="1" applyBorder="1" applyAlignment="1" applyProtection="1">
      <alignment vertical="center"/>
      <protection hidden="1"/>
    </xf>
    <xf numFmtId="177" fontId="9" fillId="0" borderId="0" xfId="2" applyNumberFormat="1" applyFont="1" applyFill="1" applyBorder="1" applyAlignment="1" applyProtection="1">
      <protection hidden="1"/>
    </xf>
    <xf numFmtId="2" fontId="8" fillId="6" borderId="1" xfId="0" applyNumberFormat="1" applyFont="1" applyFill="1" applyBorder="1" applyAlignment="1" applyProtection="1">
      <alignment horizontal="center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2" fontId="10" fillId="0" borderId="0" xfId="2" applyNumberFormat="1" applyFont="1" applyFill="1" applyBorder="1" applyAlignment="1" applyProtection="1">
      <alignment horizontal="right" vertical="center"/>
      <protection hidden="1"/>
    </xf>
    <xf numFmtId="1" fontId="8" fillId="0" borderId="0" xfId="0" applyNumberFormat="1" applyFont="1" applyAlignment="1" applyProtection="1">
      <alignment horizontal="left" vertical="center"/>
      <protection hidden="1"/>
    </xf>
    <xf numFmtId="2" fontId="8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Fill="1" applyBorder="1" applyAlignment="1" applyProtection="1">
      <alignment vertical="center" wrapText="1"/>
      <protection hidden="1"/>
    </xf>
    <xf numFmtId="2" fontId="14" fillId="6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37" xfId="0" applyNumberFormat="1" applyFont="1" applyFill="1" applyBorder="1" applyAlignment="1" applyProtection="1">
      <alignment horizontal="center" vertical="center"/>
      <protection hidden="1"/>
    </xf>
    <xf numFmtId="1" fontId="8" fillId="9" borderId="37" xfId="0" applyNumberFormat="1" applyFont="1" applyFill="1" applyBorder="1" applyAlignment="1" applyProtection="1">
      <alignment horizontal="center" vertical="center"/>
      <protection hidden="1"/>
    </xf>
    <xf numFmtId="1" fontId="14" fillId="6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/>
      <protection hidden="1"/>
    </xf>
    <xf numFmtId="1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171" fontId="14" fillId="9" borderId="1" xfId="0" applyNumberFormat="1" applyFont="1" applyFill="1" applyBorder="1" applyAlignment="1" applyProtection="1">
      <alignment horizontal="center" vertical="center"/>
      <protection hidden="1"/>
    </xf>
    <xf numFmtId="2" fontId="14" fillId="6" borderId="1" xfId="0" applyNumberFormat="1" applyFont="1" applyFill="1" applyBorder="1" applyAlignment="1" applyProtection="1">
      <alignment horizontal="center" wrapText="1"/>
      <protection hidden="1"/>
    </xf>
    <xf numFmtId="2" fontId="14" fillId="9" borderId="1" xfId="0" applyNumberFormat="1" applyFont="1" applyFill="1" applyBorder="1" applyAlignment="1" applyProtection="1">
      <alignment horizontal="center" vertical="center"/>
      <protection hidden="1"/>
    </xf>
    <xf numFmtId="171" fontId="8" fillId="2" borderId="0" xfId="0" applyNumberFormat="1" applyFont="1" applyFill="1" applyBorder="1" applyProtection="1">
      <protection hidden="1"/>
    </xf>
    <xf numFmtId="2" fontId="8" fillId="0" borderId="0" xfId="0" applyNumberFormat="1" applyFont="1" applyFill="1" applyProtection="1">
      <protection hidden="1"/>
    </xf>
    <xf numFmtId="1" fontId="8" fillId="6" borderId="1" xfId="0" applyNumberFormat="1" applyFont="1" applyFill="1" applyBorder="1" applyAlignment="1" applyProtection="1">
      <alignment horizontal="center" vertical="center"/>
      <protection hidden="1"/>
    </xf>
    <xf numFmtId="1" fontId="8" fillId="6" borderId="20" xfId="0" applyNumberFormat="1" applyFont="1" applyFill="1" applyBorder="1" applyAlignment="1" applyProtection="1">
      <alignment horizontal="center" vertical="center"/>
      <protection hidden="1"/>
    </xf>
    <xf numFmtId="1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8" fillId="9" borderId="1" xfId="0" applyNumberFormat="1" applyFont="1" applyFill="1" applyBorder="1" applyAlignment="1" applyProtection="1">
      <alignment horizontal="center" vertical="center"/>
      <protection hidden="1"/>
    </xf>
    <xf numFmtId="164" fontId="8" fillId="9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Protection="1">
      <protection hidden="1"/>
    </xf>
    <xf numFmtId="2" fontId="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left" vertical="center"/>
      <protection hidden="1"/>
    </xf>
    <xf numFmtId="166" fontId="8" fillId="6" borderId="1" xfId="0" applyNumberFormat="1" applyFont="1" applyFill="1" applyBorder="1" applyAlignment="1" applyProtection="1">
      <alignment horizontal="center" vertical="center"/>
      <protection hidden="1"/>
    </xf>
    <xf numFmtId="166" fontId="8" fillId="9" borderId="1" xfId="0" applyNumberFormat="1" applyFont="1" applyFill="1" applyBorder="1" applyAlignment="1" applyProtection="1">
      <alignment horizontal="center" vertical="center"/>
      <protection hidden="1"/>
    </xf>
    <xf numFmtId="165" fontId="8" fillId="9" borderId="1" xfId="0" applyNumberFormat="1" applyFont="1" applyFill="1" applyBorder="1" applyAlignment="1" applyProtection="1">
      <alignment horizontal="center" vertical="center"/>
      <protection hidden="1"/>
    </xf>
    <xf numFmtId="169" fontId="8" fillId="6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20" xfId="0" applyNumberFormat="1" applyFont="1" applyBorder="1" applyProtection="1"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171" fontId="8" fillId="9" borderId="1" xfId="0" applyNumberFormat="1" applyFont="1" applyFill="1" applyBorder="1" applyAlignment="1" applyProtection="1">
      <alignment horizontal="center" vertical="center"/>
      <protection hidden="1"/>
    </xf>
    <xf numFmtId="169" fontId="8" fillId="0" borderId="0" xfId="0" applyNumberFormat="1" applyFont="1" applyFill="1" applyBorder="1" applyProtection="1">
      <protection hidden="1"/>
    </xf>
    <xf numFmtId="2" fontId="15" fillId="3" borderId="9" xfId="0" applyNumberFormat="1" applyFont="1" applyFill="1" applyBorder="1" applyAlignment="1" applyProtection="1">
      <alignment horizontal="center" vertical="center"/>
      <protection hidden="1"/>
    </xf>
    <xf numFmtId="2" fontId="16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10" fillId="9" borderId="1" xfId="0" applyNumberFormat="1" applyFont="1" applyFill="1" applyBorder="1" applyAlignment="1" applyProtection="1">
      <alignment horizontal="center" vertical="center"/>
      <protection hidden="1"/>
    </xf>
    <xf numFmtId="2" fontId="10" fillId="9" borderId="20" xfId="0" applyNumberFormat="1" applyFont="1" applyFill="1" applyBorder="1" applyAlignment="1" applyProtection="1">
      <alignment horizontal="center"/>
      <protection hidden="1"/>
    </xf>
    <xf numFmtId="2" fontId="10" fillId="9" borderId="1" xfId="0" applyNumberFormat="1" applyFont="1" applyFill="1" applyBorder="1" applyAlignment="1" applyProtection="1">
      <alignment horizontal="center"/>
      <protection hidden="1"/>
    </xf>
    <xf numFmtId="166" fontId="9" fillId="9" borderId="33" xfId="0" applyNumberFormat="1" applyFont="1" applyFill="1" applyBorder="1" applyAlignment="1" applyProtection="1">
      <alignment horizontal="center" vertical="center"/>
      <protection hidden="1"/>
    </xf>
    <xf numFmtId="167" fontId="10" fillId="9" borderId="20" xfId="0" applyNumberFormat="1" applyFont="1" applyFill="1" applyBorder="1" applyAlignment="1" applyProtection="1">
      <alignment horizontal="center" vertical="center"/>
      <protection hidden="1"/>
    </xf>
    <xf numFmtId="167" fontId="10" fillId="9" borderId="1" xfId="0" applyNumberFormat="1" applyFont="1" applyFill="1" applyBorder="1" applyAlignment="1" applyProtection="1">
      <alignment horizontal="center" vertical="center"/>
      <protection hidden="1"/>
    </xf>
    <xf numFmtId="167" fontId="9" fillId="9" borderId="33" xfId="0" applyNumberFormat="1" applyFont="1" applyFill="1" applyBorder="1" applyAlignment="1" applyProtection="1">
      <alignment horizontal="center" vertical="center"/>
      <protection hidden="1"/>
    </xf>
    <xf numFmtId="2" fontId="10" fillId="6" borderId="2" xfId="0" applyNumberFormat="1" applyFont="1" applyFill="1" applyBorder="1" applyProtection="1">
      <protection hidden="1"/>
    </xf>
    <xf numFmtId="2" fontId="10" fillId="6" borderId="19" xfId="0" applyNumberFormat="1" applyFont="1" applyFill="1" applyBorder="1" applyAlignment="1" applyProtection="1">
      <alignment horizontal="center" vertical="center"/>
      <protection hidden="1"/>
    </xf>
    <xf numFmtId="165" fontId="17" fillId="3" borderId="51" xfId="0" applyNumberFormat="1" applyFont="1" applyFill="1" applyBorder="1" applyAlignment="1" applyProtection="1">
      <alignment horizontal="center" vertical="center"/>
      <protection hidden="1"/>
    </xf>
    <xf numFmtId="165" fontId="17" fillId="3" borderId="52" xfId="0" applyNumberFormat="1" applyFont="1" applyFill="1" applyBorder="1" applyAlignment="1" applyProtection="1">
      <alignment horizontal="center" vertical="center"/>
      <protection hidden="1"/>
    </xf>
    <xf numFmtId="165" fontId="17" fillId="3" borderId="53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25" xfId="0" applyNumberFormat="1" applyFont="1" applyFill="1" applyBorder="1" applyAlignment="1" applyProtection="1">
      <alignment vertical="center" wrapText="1"/>
      <protection hidden="1"/>
    </xf>
    <xf numFmtId="1" fontId="8" fillId="9" borderId="1" xfId="0" applyNumberFormat="1" applyFont="1" applyFill="1" applyBorder="1" applyAlignment="1" applyProtection="1">
      <alignment horizontal="center" vertical="center"/>
      <protection hidden="1"/>
    </xf>
    <xf numFmtId="1" fontId="8" fillId="9" borderId="3" xfId="0" applyNumberFormat="1" applyFont="1" applyFill="1" applyBorder="1" applyAlignment="1" applyProtection="1">
      <alignment horizontal="center" vertical="center"/>
      <protection hidden="1"/>
    </xf>
    <xf numFmtId="2" fontId="14" fillId="6" borderId="2" xfId="0" applyNumberFormat="1" applyFont="1" applyFill="1" applyBorder="1" applyAlignment="1" applyProtection="1">
      <alignment vertical="center" wrapText="1"/>
      <protection hidden="1"/>
    </xf>
    <xf numFmtId="2" fontId="8" fillId="6" borderId="19" xfId="0" applyNumberFormat="1" applyFont="1" applyFill="1" applyBorder="1" applyProtection="1">
      <protection hidden="1"/>
    </xf>
    <xf numFmtId="165" fontId="14" fillId="9" borderId="29" xfId="0" applyNumberFormat="1" applyFont="1" applyFill="1" applyBorder="1" applyAlignment="1" applyProtection="1">
      <alignment horizontal="center" vertical="center"/>
      <protection hidden="1"/>
    </xf>
    <xf numFmtId="165" fontId="14" fillId="9" borderId="33" xfId="0" applyNumberFormat="1" applyFont="1" applyFill="1" applyBorder="1" applyAlignment="1" applyProtection="1">
      <alignment horizontal="center" vertical="center"/>
      <protection hidden="1"/>
    </xf>
    <xf numFmtId="1" fontId="8" fillId="9" borderId="18" xfId="0" applyNumberFormat="1" applyFont="1" applyFill="1" applyBorder="1" applyAlignment="1" applyProtection="1">
      <alignment horizontal="center" vertical="center"/>
      <protection hidden="1"/>
    </xf>
    <xf numFmtId="1" fontId="8" fillId="9" borderId="20" xfId="0" applyNumberFormat="1" applyFont="1" applyFill="1" applyBorder="1" applyAlignment="1" applyProtection="1">
      <alignment horizontal="center" vertical="center"/>
      <protection hidden="1"/>
    </xf>
    <xf numFmtId="165" fontId="9" fillId="9" borderId="18" xfId="0" applyNumberFormat="1" applyFont="1" applyFill="1" applyBorder="1" applyAlignment="1" applyProtection="1">
      <alignment horizontal="center" vertical="center"/>
      <protection hidden="1"/>
    </xf>
    <xf numFmtId="165" fontId="9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19" xfId="0" applyNumberFormat="1" applyFont="1" applyFill="1" applyBorder="1" applyAlignment="1" applyProtection="1">
      <alignment vertical="center" wrapText="1"/>
      <protection hidden="1"/>
    </xf>
    <xf numFmtId="167" fontId="9" fillId="9" borderId="20" xfId="0" applyNumberFormat="1" applyFont="1" applyFill="1" applyBorder="1" applyAlignment="1" applyProtection="1">
      <alignment horizontal="center" vertical="center"/>
      <protection hidden="1"/>
    </xf>
    <xf numFmtId="10" fontId="9" fillId="9" borderId="3" xfId="1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1" fontId="9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Protection="1">
      <protection hidden="1"/>
    </xf>
    <xf numFmtId="2" fontId="19" fillId="6" borderId="27" xfId="0" applyNumberFormat="1" applyFont="1" applyFill="1" applyBorder="1" applyAlignment="1" applyProtection="1">
      <alignment horizontal="center" vertical="center"/>
      <protection hidden="1"/>
    </xf>
    <xf numFmtId="2" fontId="19" fillId="6" borderId="31" xfId="0" applyNumberFormat="1" applyFont="1" applyFill="1" applyBorder="1" applyAlignment="1" applyProtection="1">
      <alignment horizontal="centerContinuous" vertical="center" wrapText="1"/>
      <protection hidden="1"/>
    </xf>
    <xf numFmtId="2" fontId="19" fillId="6" borderId="30" xfId="0" applyNumberFormat="1" applyFont="1" applyFill="1" applyBorder="1" applyAlignment="1" applyProtection="1">
      <alignment horizontal="centerContinuous" vertical="center" wrapText="1"/>
      <protection hidden="1"/>
    </xf>
    <xf numFmtId="2" fontId="8" fillId="6" borderId="20" xfId="0" applyNumberFormat="1" applyFont="1" applyFill="1" applyBorder="1" applyProtection="1">
      <protection hidden="1"/>
    </xf>
    <xf numFmtId="2" fontId="8" fillId="6" borderId="17" xfId="0" applyNumberFormat="1" applyFont="1" applyFill="1" applyBorder="1" applyAlignment="1" applyProtection="1">
      <alignment horizontal="centerContinuous"/>
      <protection hidden="1"/>
    </xf>
    <xf numFmtId="2" fontId="8" fillId="6" borderId="18" xfId="0" applyNumberFormat="1" applyFont="1" applyFill="1" applyBorder="1" applyAlignment="1" applyProtection="1">
      <alignment horizontal="centerContinuous"/>
      <protection hidden="1"/>
    </xf>
    <xf numFmtId="174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8" fillId="9" borderId="2" xfId="1" applyNumberFormat="1" applyFont="1" applyFill="1" applyBorder="1" applyAlignment="1" applyProtection="1">
      <alignment vertical="center" wrapText="1"/>
      <protection hidden="1"/>
    </xf>
    <xf numFmtId="174" fontId="8" fillId="9" borderId="3" xfId="1" applyNumberFormat="1" applyFont="1" applyFill="1" applyBorder="1" applyAlignment="1" applyProtection="1">
      <alignment vertical="center" wrapText="1"/>
      <protection hidden="1"/>
    </xf>
    <xf numFmtId="174" fontId="8" fillId="9" borderId="1" xfId="1" applyNumberFormat="1" applyFont="1" applyFill="1" applyBorder="1" applyAlignment="1" applyProtection="1">
      <alignment horizontal="center" vertical="center" wrapText="1"/>
      <protection hidden="1"/>
    </xf>
    <xf numFmtId="174" fontId="8" fillId="9" borderId="3" xfId="0" applyNumberFormat="1" applyFont="1" applyFill="1" applyBorder="1" applyAlignment="1" applyProtection="1">
      <alignment vertical="center" wrapText="1"/>
      <protection hidden="1"/>
    </xf>
    <xf numFmtId="174" fontId="11" fillId="9" borderId="3" xfId="0" applyNumberFormat="1" applyFont="1" applyFill="1" applyBorder="1" applyAlignment="1" applyProtection="1">
      <alignment vertical="center" wrapText="1"/>
      <protection hidden="1"/>
    </xf>
    <xf numFmtId="174" fontId="14" fillId="9" borderId="1" xfId="0" applyNumberFormat="1" applyFont="1" applyFill="1" applyBorder="1" applyProtection="1">
      <protection hidden="1"/>
    </xf>
    <xf numFmtId="173" fontId="8" fillId="2" borderId="0" xfId="0" applyNumberFormat="1" applyFont="1" applyFill="1" applyBorder="1" applyProtection="1">
      <protection hidden="1"/>
    </xf>
    <xf numFmtId="2" fontId="22" fillId="3" borderId="0" xfId="0" applyNumberFormat="1" applyFont="1" applyFill="1" applyBorder="1" applyAlignment="1" applyProtection="1">
      <alignment horizontal="left" vertical="center"/>
      <protection hidden="1"/>
    </xf>
    <xf numFmtId="2" fontId="15" fillId="3" borderId="0" xfId="0" applyNumberFormat="1" applyFont="1" applyFill="1" applyBorder="1" applyProtection="1">
      <protection hidden="1"/>
    </xf>
    <xf numFmtId="167" fontId="8" fillId="9" borderId="1" xfId="0" applyNumberFormat="1" applyFont="1" applyFill="1" applyBorder="1" applyAlignment="1" applyProtection="1">
      <alignment horizontal="center" vertical="center"/>
      <protection hidden="1"/>
    </xf>
    <xf numFmtId="2" fontId="22" fillId="3" borderId="0" xfId="0" applyNumberFormat="1" applyFont="1" applyFill="1" applyBorder="1" applyAlignment="1" applyProtection="1">
      <alignment horizontal="center" vertical="top"/>
      <protection hidden="1"/>
    </xf>
    <xf numFmtId="2" fontId="22" fillId="3" borderId="0" xfId="0" applyNumberFormat="1" applyFont="1" applyFill="1" applyBorder="1" applyAlignment="1" applyProtection="1">
      <alignment horizontal="center" vertical="center"/>
      <protection hidden="1"/>
    </xf>
    <xf numFmtId="2" fontId="22" fillId="3" borderId="0" xfId="0" applyNumberFormat="1" applyFont="1" applyFill="1" applyBorder="1" applyAlignment="1" applyProtection="1">
      <alignment horizontal="right" vertical="center"/>
      <protection hidden="1"/>
    </xf>
    <xf numFmtId="2" fontId="19" fillId="6" borderId="19" xfId="0" applyNumberFormat="1" applyFont="1" applyFill="1" applyBorder="1" applyAlignment="1" applyProtection="1">
      <alignment horizontal="center" vertical="center"/>
      <protection hidden="1"/>
    </xf>
    <xf numFmtId="174" fontId="8" fillId="9" borderId="1" xfId="0" applyNumberFormat="1" applyFont="1" applyFill="1" applyBorder="1" applyAlignment="1" applyProtection="1">
      <alignment horizontal="center" vertical="center"/>
      <protection hidden="1"/>
    </xf>
    <xf numFmtId="2" fontId="15" fillId="3" borderId="0" xfId="0" applyNumberFormat="1" applyFont="1" applyFill="1" applyBorder="1" applyAlignment="1" applyProtection="1">
      <alignment horizontal="center" vertical="center"/>
      <protection hidden="1"/>
    </xf>
    <xf numFmtId="2" fontId="22" fillId="3" borderId="0" xfId="0" applyNumberFormat="1" applyFont="1" applyFill="1" applyBorder="1" applyAlignment="1" applyProtection="1">
      <alignment horizontal="center" wrapText="1"/>
      <protection hidden="1"/>
    </xf>
    <xf numFmtId="164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11" borderId="19" xfId="0" applyNumberFormat="1" applyFont="1" applyFill="1" applyBorder="1" applyAlignment="1" applyProtection="1">
      <alignment horizontal="center" vertical="center"/>
      <protection hidden="1"/>
    </xf>
    <xf numFmtId="2" fontId="19" fillId="6" borderId="33" xfId="0" applyNumberFormat="1" applyFont="1" applyFill="1" applyBorder="1" applyAlignment="1" applyProtection="1">
      <alignment horizontal="left" vertical="center"/>
      <protection hidden="1"/>
    </xf>
    <xf numFmtId="2" fontId="1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8" fillId="9" borderId="38" xfId="0" applyNumberFormat="1" applyFont="1" applyFill="1" applyBorder="1" applyAlignment="1" applyProtection="1">
      <alignment horizontal="center" vertical="center"/>
      <protection hidden="1"/>
    </xf>
    <xf numFmtId="1" fontId="8" fillId="9" borderId="36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left" vertical="center"/>
      <protection hidden="1"/>
    </xf>
    <xf numFmtId="2" fontId="9" fillId="6" borderId="2" xfId="2" applyNumberFormat="1" applyFont="1" applyFill="1" applyBorder="1" applyAlignment="1" applyProtection="1">
      <alignment horizontal="center" vertical="center"/>
      <protection hidden="1"/>
    </xf>
    <xf numFmtId="2" fontId="9" fillId="6" borderId="3" xfId="2" applyNumberFormat="1" applyFont="1" applyFill="1" applyBorder="1" applyAlignment="1" applyProtection="1">
      <alignment horizontal="center" vertical="center"/>
      <protection hidden="1"/>
    </xf>
    <xf numFmtId="174" fontId="8" fillId="9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1" xfId="2" applyFont="1" applyFill="1" applyBorder="1" applyAlignment="1" applyProtection="1">
      <alignment horizontal="center" vertical="center"/>
      <protection hidden="1"/>
    </xf>
    <xf numFmtId="11" fontId="8" fillId="2" borderId="0" xfId="0" applyNumberFormat="1" applyFont="1" applyFill="1" applyBorder="1" applyProtection="1">
      <protection hidden="1"/>
    </xf>
    <xf numFmtId="2" fontId="8" fillId="2" borderId="0" xfId="0" applyNumberFormat="1" applyFont="1" applyFill="1" applyBorder="1" applyAlignment="1" applyProtection="1">
      <alignment horizontal="center"/>
      <protection hidden="1"/>
    </xf>
    <xf numFmtId="14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2" fontId="8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8" fillId="9" borderId="1" xfId="0" applyFont="1" applyFill="1" applyBorder="1" applyAlignment="1" applyProtection="1">
      <alignment horizontal="center" vertical="center"/>
      <protection hidden="1"/>
    </xf>
    <xf numFmtId="2" fontId="1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0" xfId="2" applyNumberFormat="1" applyFont="1" applyFill="1" applyBorder="1" applyAlignment="1" applyProtection="1">
      <alignment horizontal="center" vertical="center" wrapText="1"/>
      <protection hidden="1"/>
    </xf>
    <xf numFmtId="2" fontId="6" fillId="6" borderId="1" xfId="0" applyNumberFormat="1" applyFont="1" applyFill="1" applyBorder="1" applyAlignment="1" applyProtection="1">
      <alignment horizontal="center" vertical="center"/>
      <protection hidden="1"/>
    </xf>
    <xf numFmtId="2" fontId="19" fillId="6" borderId="2" xfId="0" applyNumberFormat="1" applyFont="1" applyFill="1" applyBorder="1" applyAlignment="1" applyProtection="1">
      <alignment vertical="center"/>
      <protection hidden="1"/>
    </xf>
    <xf numFmtId="2" fontId="19" fillId="6" borderId="3" xfId="0" applyNumberFormat="1" applyFont="1" applyFill="1" applyBorder="1" applyAlignment="1" applyProtection="1">
      <alignment vertical="center"/>
      <protection hidden="1"/>
    </xf>
    <xf numFmtId="1" fontId="9" fillId="17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17" borderId="1" xfId="0" applyNumberFormat="1" applyFont="1" applyFill="1" applyBorder="1" applyAlignment="1" applyProtection="1">
      <alignment horizontal="center" vertical="center"/>
      <protection hidden="1"/>
    </xf>
    <xf numFmtId="2" fontId="8" fillId="17" borderId="1" xfId="0" applyNumberFormat="1" applyFont="1" applyFill="1" applyBorder="1" applyAlignment="1" applyProtection="1">
      <alignment horizontal="center" vertical="center"/>
      <protection hidden="1"/>
    </xf>
    <xf numFmtId="1" fontId="8" fillId="17" borderId="1" xfId="0" applyNumberFormat="1" applyFont="1" applyFill="1" applyBorder="1" applyAlignment="1" applyProtection="1">
      <alignment horizontal="center" vertical="center"/>
      <protection hidden="1"/>
    </xf>
    <xf numFmtId="174" fontId="8" fillId="17" borderId="1" xfId="0" applyNumberFormat="1" applyFont="1" applyFill="1" applyBorder="1" applyAlignment="1" applyProtection="1">
      <alignment horizontal="center" vertical="center"/>
      <protection hidden="1"/>
    </xf>
    <xf numFmtId="2" fontId="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2" fontId="8" fillId="9" borderId="18" xfId="0" applyNumberFormat="1" applyFont="1" applyFill="1" applyBorder="1" applyAlignment="1" applyProtection="1">
      <alignment horizontal="centerContinuous" vertical="center" wrapText="1"/>
      <protection hidden="1"/>
    </xf>
    <xf numFmtId="171" fontId="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171" fontId="8" fillId="6" borderId="1" xfId="0" applyNumberFormat="1" applyFont="1" applyFill="1" applyBorder="1" applyAlignment="1" applyProtection="1">
      <alignment horizontal="center" vertical="center"/>
      <protection hidden="1"/>
    </xf>
    <xf numFmtId="169" fontId="10" fillId="9" borderId="20" xfId="0" applyNumberFormat="1" applyFont="1" applyFill="1" applyBorder="1" applyAlignment="1" applyProtection="1">
      <alignment horizontal="center" vertical="center"/>
      <protection hidden="1"/>
    </xf>
    <xf numFmtId="2" fontId="19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27" fillId="6" borderId="20" xfId="0" applyNumberFormat="1" applyFont="1" applyFill="1" applyBorder="1" applyAlignment="1" applyProtection="1">
      <alignment horizontal="center" vertical="center" wrapText="1"/>
      <protection hidden="1"/>
    </xf>
    <xf numFmtId="174" fontId="8" fillId="17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" fillId="18" borderId="1" xfId="0" applyFont="1" applyFill="1" applyBorder="1" applyAlignment="1" applyProtection="1">
      <alignment horizontal="left" vertical="center" wrapText="1"/>
      <protection hidden="1"/>
    </xf>
    <xf numFmtId="0" fontId="40" fillId="18" borderId="1" xfId="0" applyFont="1" applyFill="1" applyBorder="1" applyAlignment="1" applyProtection="1">
      <alignment horizontal="left" vertical="center" wrapText="1"/>
      <protection hidden="1"/>
    </xf>
    <xf numFmtId="0" fontId="40" fillId="18" borderId="1" xfId="0" applyFont="1" applyFill="1" applyBorder="1" applyAlignment="1" applyProtection="1">
      <alignment horizontal="center" vertical="center" wrapText="1"/>
      <protection hidden="1"/>
    </xf>
    <xf numFmtId="2" fontId="8" fillId="0" borderId="63" xfId="0" applyNumberFormat="1" applyFont="1" applyBorder="1" applyAlignment="1" applyProtection="1">
      <alignment vertical="center"/>
      <protection hidden="1"/>
    </xf>
    <xf numFmtId="1" fontId="9" fillId="10" borderId="3" xfId="0" applyNumberFormat="1" applyFont="1" applyFill="1" applyBorder="1" applyAlignment="1" applyProtection="1">
      <alignment horizontal="center" vertical="center" wrapText="1"/>
      <protection hidden="1"/>
    </xf>
    <xf numFmtId="2" fontId="15" fillId="3" borderId="16" xfId="0" applyNumberFormat="1" applyFont="1" applyFill="1" applyBorder="1" applyAlignment="1" applyProtection="1">
      <alignment vertical="center"/>
      <protection hidden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  <xf numFmtId="2" fontId="14" fillId="6" borderId="14" xfId="0" applyNumberFormat="1" applyFont="1" applyFill="1" applyBorder="1" applyAlignment="1" applyProtection="1">
      <alignment horizontal="center" vertical="center"/>
      <protection hidden="1"/>
    </xf>
    <xf numFmtId="2" fontId="14" fillId="6" borderId="37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37" xfId="0" applyNumberFormat="1" applyFont="1" applyFill="1" applyBorder="1" applyAlignment="1" applyProtection="1">
      <alignment vertical="center" wrapText="1"/>
      <protection hidden="1"/>
    </xf>
    <xf numFmtId="2" fontId="8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1" fontId="15" fillId="9" borderId="20" xfId="0" applyNumberFormat="1" applyFont="1" applyFill="1" applyBorder="1" applyAlignment="1" applyProtection="1">
      <alignment horizontal="center"/>
      <protection hidden="1"/>
    </xf>
    <xf numFmtId="1" fontId="15" fillId="9" borderId="1" xfId="0" applyNumberFormat="1" applyFont="1" applyFill="1" applyBorder="1" applyAlignment="1" applyProtection="1">
      <alignment horizontal="center"/>
      <protection hidden="1"/>
    </xf>
    <xf numFmtId="2" fontId="15" fillId="2" borderId="0" xfId="0" applyNumberFormat="1" applyFont="1" applyFill="1" applyBorder="1" applyProtection="1">
      <protection hidden="1"/>
    </xf>
    <xf numFmtId="171" fontId="14" fillId="9" borderId="37" xfId="0" applyNumberFormat="1" applyFont="1" applyFill="1" applyBorder="1" applyAlignment="1" applyProtection="1">
      <alignment horizontal="center" vertical="center"/>
      <protection hidden="1"/>
    </xf>
    <xf numFmtId="2" fontId="19" fillId="6" borderId="37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37" xfId="0" applyNumberFormat="1" applyFont="1" applyFill="1" applyBorder="1" applyAlignment="1" applyProtection="1">
      <alignment vertical="center" wrapText="1"/>
      <protection hidden="1"/>
    </xf>
    <xf numFmtId="164" fontId="41" fillId="10" borderId="3" xfId="0" applyNumberFormat="1" applyFont="1" applyFill="1" applyBorder="1" applyAlignment="1" applyProtection="1">
      <alignment horizontal="center" vertical="center" wrapText="1"/>
      <protection hidden="1"/>
    </xf>
    <xf numFmtId="164" fontId="41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41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41" fillId="3" borderId="16" xfId="0" applyNumberFormat="1" applyFont="1" applyFill="1" applyBorder="1" applyAlignment="1" applyProtection="1">
      <alignment vertical="center"/>
      <protection hidden="1"/>
    </xf>
    <xf numFmtId="0" fontId="43" fillId="6" borderId="1" xfId="2" applyFont="1" applyFill="1" applyBorder="1" applyAlignment="1" applyProtection="1">
      <alignment horizontal="center" vertical="center"/>
      <protection hidden="1"/>
    </xf>
    <xf numFmtId="2" fontId="19" fillId="6" borderId="3" xfId="0" applyNumberFormat="1" applyFont="1" applyFill="1" applyBorder="1" applyAlignment="1" applyProtection="1">
      <alignment horizontal="center" vertical="center"/>
      <protection hidden="1"/>
    </xf>
    <xf numFmtId="1" fontId="10" fillId="9" borderId="1" xfId="0" applyNumberFormat="1" applyFont="1" applyFill="1" applyBorder="1" applyAlignment="1" applyProtection="1">
      <alignment horizontal="center" vertical="center"/>
      <protection hidden="1"/>
    </xf>
    <xf numFmtId="1" fontId="44" fillId="9" borderId="1" xfId="0" applyNumberFormat="1" applyFont="1" applyFill="1" applyBorder="1" applyAlignment="1" applyProtection="1">
      <alignment horizontal="center" vertical="center"/>
      <protection hidden="1"/>
    </xf>
    <xf numFmtId="2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34" fillId="0" borderId="0" xfId="0" applyFont="1" applyBorder="1" applyProtection="1"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37" xfId="0" applyFont="1" applyBorder="1" applyAlignment="1" applyProtection="1">
      <alignment horizontal="center"/>
      <protection hidden="1"/>
    </xf>
    <xf numFmtId="0" fontId="33" fillId="0" borderId="4" xfId="0" applyNumberFormat="1" applyFont="1" applyBorder="1" applyAlignment="1" applyProtection="1">
      <protection hidden="1"/>
    </xf>
    <xf numFmtId="0" fontId="33" fillId="0" borderId="5" xfId="0" applyNumberFormat="1" applyFont="1" applyBorder="1" applyAlignment="1" applyProtection="1">
      <protection hidden="1"/>
    </xf>
    <xf numFmtId="0" fontId="33" fillId="0" borderId="42" xfId="0" applyNumberFormat="1" applyFont="1" applyBorder="1" applyAlignment="1" applyProtection="1">
      <protection hidden="1"/>
    </xf>
    <xf numFmtId="10" fontId="34" fillId="0" borderId="37" xfId="0" applyNumberFormat="1" applyFont="1" applyBorder="1" applyAlignment="1" applyProtection="1">
      <alignment horizontal="center"/>
      <protection hidden="1"/>
    </xf>
    <xf numFmtId="0" fontId="34" fillId="0" borderId="0" xfId="0" applyFont="1" applyFill="1" applyBorder="1" applyProtection="1">
      <protection hidden="1"/>
    </xf>
    <xf numFmtId="0" fontId="33" fillId="0" borderId="44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NumberFormat="1" applyFont="1" applyFill="1" applyBorder="1" applyAlignment="1" applyProtection="1">
      <alignment horizontal="center" vertical="center"/>
      <protection hidden="1"/>
    </xf>
    <xf numFmtId="168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45" xfId="0" applyNumberFormat="1" applyFont="1" applyFill="1" applyBorder="1" applyAlignment="1" applyProtection="1">
      <alignment horizontal="center" vertical="center"/>
      <protection hidden="1"/>
    </xf>
    <xf numFmtId="0" fontId="34" fillId="21" borderId="0" xfId="0" applyFont="1" applyFill="1" applyBorder="1" applyAlignment="1" applyProtection="1">
      <alignment horizontal="center" vertical="center"/>
      <protection hidden="1"/>
    </xf>
    <xf numFmtId="10" fontId="34" fillId="21" borderId="37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Protection="1">
      <protection hidden="1"/>
    </xf>
    <xf numFmtId="0" fontId="34" fillId="0" borderId="7" xfId="0" applyNumberFormat="1" applyFont="1" applyFill="1" applyBorder="1" applyProtection="1">
      <protection hidden="1"/>
    </xf>
    <xf numFmtId="0" fontId="34" fillId="0" borderId="8" xfId="0" applyNumberFormat="1" applyFont="1" applyFill="1" applyBorder="1" applyProtection="1">
      <protection hidden="1"/>
    </xf>
    <xf numFmtId="0" fontId="34" fillId="0" borderId="12" xfId="0" applyNumberFormat="1" applyFont="1" applyFill="1" applyBorder="1" applyProtection="1">
      <protection hidden="1"/>
    </xf>
    <xf numFmtId="0" fontId="33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7" xfId="0" applyNumberFormat="1" applyFont="1" applyFill="1" applyBorder="1" applyAlignment="1" applyProtection="1">
      <alignment horizontal="center"/>
      <protection hidden="1"/>
    </xf>
    <xf numFmtId="0" fontId="33" fillId="0" borderId="8" xfId="0" applyNumberFormat="1" applyFont="1" applyFill="1" applyBorder="1" applyAlignment="1" applyProtection="1">
      <alignment horizontal="center"/>
      <protection hidden="1"/>
    </xf>
    <xf numFmtId="0" fontId="3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2" xfId="0" applyNumberFormat="1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protection hidden="1"/>
    </xf>
    <xf numFmtId="0" fontId="34" fillId="0" borderId="15" xfId="0" applyFont="1" applyBorder="1" applyAlignment="1" applyProtection="1">
      <protection hidden="1"/>
    </xf>
    <xf numFmtId="0" fontId="34" fillId="0" borderId="10" xfId="0" applyFont="1" applyBorder="1" applyAlignment="1" applyProtection="1"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0" fontId="34" fillId="0" borderId="4" xfId="0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Fill="1" applyBorder="1" applyAlignment="1" applyProtection="1">
      <alignment horizontal="center" vertical="center"/>
      <protection hidden="1"/>
    </xf>
    <xf numFmtId="168" fontId="34" fillId="0" borderId="5" xfId="0" applyNumberFormat="1" applyFont="1" applyFill="1" applyBorder="1" applyAlignment="1" applyProtection="1">
      <alignment horizontal="center" vertical="center"/>
      <protection hidden="1"/>
    </xf>
    <xf numFmtId="164" fontId="34" fillId="0" borderId="5" xfId="0" applyNumberFormat="1" applyFont="1" applyFill="1" applyBorder="1" applyAlignment="1" applyProtection="1">
      <alignment horizontal="center" vertical="center"/>
      <protection hidden="1"/>
    </xf>
    <xf numFmtId="166" fontId="34" fillId="0" borderId="5" xfId="0" applyNumberFormat="1" applyFont="1" applyFill="1" applyBorder="1" applyAlignment="1" applyProtection="1">
      <alignment horizontal="center" vertical="center"/>
      <protection hidden="1"/>
    </xf>
    <xf numFmtId="169" fontId="34" fillId="0" borderId="60" xfId="0" applyNumberFormat="1" applyFont="1" applyFill="1" applyBorder="1" applyAlignment="1" applyProtection="1">
      <alignment horizontal="center" vertical="center"/>
      <protection hidden="1"/>
    </xf>
    <xf numFmtId="0" fontId="34" fillId="0" borderId="42" xfId="0" applyFont="1" applyFill="1" applyBorder="1" applyAlignment="1" applyProtection="1">
      <alignment horizontal="center" vertical="center"/>
      <protection hidden="1"/>
    </xf>
    <xf numFmtId="0" fontId="34" fillId="0" borderId="44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/>
      <protection hidden="1"/>
    </xf>
    <xf numFmtId="168" fontId="34" fillId="0" borderId="1" xfId="0" applyNumberFormat="1" applyFont="1" applyFill="1" applyBorder="1" applyAlignment="1" applyProtection="1">
      <alignment horizontal="center" vertical="center"/>
      <protection hidden="1"/>
    </xf>
    <xf numFmtId="165" fontId="34" fillId="0" borderId="1" xfId="0" applyNumberFormat="1" applyFont="1" applyFill="1" applyBorder="1" applyAlignment="1" applyProtection="1">
      <alignment horizontal="center" vertical="center"/>
      <protection hidden="1"/>
    </xf>
    <xf numFmtId="2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2" xfId="0" applyFont="1" applyFill="1" applyBorder="1" applyAlignment="1" applyProtection="1">
      <alignment horizontal="center" vertical="center"/>
      <protection hidden="1"/>
    </xf>
    <xf numFmtId="0" fontId="34" fillId="0" borderId="47" xfId="0" applyFont="1" applyFill="1" applyBorder="1" applyAlignment="1" applyProtection="1">
      <alignment horizontal="center" vertical="center"/>
      <protection hidden="1"/>
    </xf>
    <xf numFmtId="169" fontId="34" fillId="0" borderId="1" xfId="0" applyNumberFormat="1" applyFont="1" applyFill="1" applyBorder="1" applyAlignment="1" applyProtection="1">
      <alignment horizontal="center" vertical="center"/>
      <protection hidden="1"/>
    </xf>
    <xf numFmtId="171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48" xfId="0" applyFont="1" applyFill="1" applyBorder="1" applyAlignment="1" applyProtection="1">
      <alignment horizontal="center" vertical="center" wrapText="1"/>
      <protection hidden="1"/>
    </xf>
    <xf numFmtId="0" fontId="34" fillId="0" borderId="33" xfId="0" applyFont="1" applyFill="1" applyBorder="1" applyAlignment="1" applyProtection="1">
      <alignment horizontal="center" vertical="center"/>
      <protection hidden="1"/>
    </xf>
    <xf numFmtId="168" fontId="34" fillId="0" borderId="33" xfId="0" applyNumberFormat="1" applyFont="1" applyFill="1" applyBorder="1" applyAlignment="1" applyProtection="1">
      <alignment horizontal="center" vertical="center"/>
      <protection hidden="1"/>
    </xf>
    <xf numFmtId="169" fontId="34" fillId="0" borderId="33" xfId="0" applyNumberFormat="1" applyFont="1" applyFill="1" applyBorder="1" applyAlignment="1" applyProtection="1">
      <alignment horizontal="center" vertical="center"/>
      <protection hidden="1"/>
    </xf>
    <xf numFmtId="0" fontId="34" fillId="0" borderId="26" xfId="0" applyFont="1" applyFill="1" applyBorder="1" applyAlignment="1" applyProtection="1">
      <alignment horizontal="center" vertical="center"/>
      <protection hidden="1"/>
    </xf>
    <xf numFmtId="0" fontId="34" fillId="0" borderId="55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169" fontId="34" fillId="0" borderId="5" xfId="0" applyNumberFormat="1" applyFont="1" applyFill="1" applyBorder="1" applyAlignment="1" applyProtection="1">
      <alignment horizontal="center" vertical="center"/>
      <protection hidden="1"/>
    </xf>
    <xf numFmtId="0" fontId="34" fillId="0" borderId="45" xfId="0" applyFont="1" applyFill="1" applyBorder="1" applyAlignment="1" applyProtection="1">
      <alignment horizontal="center" vertical="center"/>
      <protection hidden="1"/>
    </xf>
    <xf numFmtId="0" fontId="34" fillId="0" borderId="7" xfId="0" applyFont="1" applyFill="1" applyBorder="1" applyAlignment="1" applyProtection="1">
      <alignment horizontal="center" vertical="center" wrapText="1"/>
      <protection hidden="1"/>
    </xf>
    <xf numFmtId="0" fontId="34" fillId="0" borderId="8" xfId="0" applyFont="1" applyFill="1" applyBorder="1" applyAlignment="1" applyProtection="1">
      <alignment horizontal="center" vertical="center"/>
      <protection hidden="1"/>
    </xf>
    <xf numFmtId="168" fontId="34" fillId="0" borderId="8" xfId="0" applyNumberFormat="1" applyFont="1" applyFill="1" applyBorder="1" applyAlignment="1" applyProtection="1">
      <alignment horizontal="center" vertical="center"/>
      <protection hidden="1"/>
    </xf>
    <xf numFmtId="169" fontId="34" fillId="0" borderId="8" xfId="0" applyNumberFormat="1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56" xfId="0" applyFont="1" applyFill="1" applyBorder="1" applyAlignment="1" applyProtection="1">
      <alignment horizontal="center" vertical="center"/>
      <protection hidden="1"/>
    </xf>
    <xf numFmtId="0" fontId="34" fillId="0" borderId="27" xfId="0" applyFont="1" applyFill="1" applyBorder="1" applyAlignment="1" applyProtection="1">
      <alignment horizontal="center" vertical="center"/>
      <protection hidden="1"/>
    </xf>
    <xf numFmtId="169" fontId="34" fillId="0" borderId="31" xfId="0" applyNumberFormat="1" applyFont="1" applyFill="1" applyBorder="1" applyAlignment="1" applyProtection="1">
      <alignment horizontal="center" vertical="center"/>
      <protection hidden="1"/>
    </xf>
    <xf numFmtId="0" fontId="34" fillId="2" borderId="1" xfId="0" applyFont="1" applyFill="1" applyBorder="1" applyAlignment="1" applyProtection="1">
      <alignment horizontal="center" vertical="center"/>
      <protection hidden="1"/>
    </xf>
    <xf numFmtId="166" fontId="34" fillId="0" borderId="1" xfId="0" applyNumberFormat="1" applyFont="1" applyFill="1" applyBorder="1" applyAlignment="1" applyProtection="1">
      <alignment horizontal="center" vertical="center"/>
      <protection hidden="1"/>
    </xf>
    <xf numFmtId="164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Font="1" applyBorder="1" applyProtection="1">
      <protection hidden="1"/>
    </xf>
    <xf numFmtId="0" fontId="34" fillId="0" borderId="1" xfId="4" applyFont="1" applyFill="1" applyBorder="1" applyProtection="1">
      <alignment horizontal="center" vertical="center"/>
      <protection hidden="1"/>
    </xf>
    <xf numFmtId="0" fontId="34" fillId="0" borderId="8" xfId="4" applyFont="1" applyFill="1" applyBorder="1" applyProtection="1">
      <alignment horizontal="center" vertical="center"/>
      <protection hidden="1"/>
    </xf>
    <xf numFmtId="0" fontId="34" fillId="0" borderId="8" xfId="0" applyFont="1" applyBorder="1" applyProtection="1">
      <protection hidden="1"/>
    </xf>
    <xf numFmtId="171" fontId="34" fillId="0" borderId="8" xfId="0" applyNumberFormat="1" applyFont="1" applyFill="1" applyBorder="1" applyAlignment="1" applyProtection="1">
      <alignment horizontal="center" vertical="center"/>
      <protection hidden="1"/>
    </xf>
    <xf numFmtId="0" fontId="34" fillId="0" borderId="46" xfId="0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Fill="1" applyBorder="1" applyAlignment="1" applyProtection="1">
      <alignment horizontal="center" vertical="center"/>
      <protection hidden="1"/>
    </xf>
    <xf numFmtId="168" fontId="34" fillId="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20" xfId="4" applyFont="1" applyFill="1" applyBorder="1" applyProtection="1">
      <alignment horizontal="center" vertical="center"/>
      <protection hidden="1"/>
    </xf>
    <xf numFmtId="0" fontId="34" fillId="0" borderId="20" xfId="0" applyFont="1" applyBorder="1" applyProtection="1">
      <protection hidden="1"/>
    </xf>
    <xf numFmtId="165" fontId="34" fillId="0" borderId="20" xfId="0" applyNumberFormat="1" applyFont="1" applyFill="1" applyBorder="1" applyAlignment="1" applyProtection="1">
      <alignment horizontal="center" vertical="center"/>
      <protection hidden="1"/>
    </xf>
    <xf numFmtId="169" fontId="34" fillId="0" borderId="17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Protection="1">
      <protection hidden="1"/>
    </xf>
    <xf numFmtId="0" fontId="33" fillId="0" borderId="0" xfId="0" applyFont="1" applyFill="1" applyBorder="1" applyProtection="1"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4" fillId="0" borderId="33" xfId="4" applyFont="1" applyFill="1" applyBorder="1" applyProtection="1">
      <alignment horizontal="center" vertical="center"/>
      <protection hidden="1"/>
    </xf>
    <xf numFmtId="169" fontId="34" fillId="0" borderId="27" xfId="0" applyNumberFormat="1" applyFont="1" applyFill="1" applyBorder="1" applyAlignment="1" applyProtection="1">
      <alignment horizontal="center" vertical="center"/>
      <protection hidden="1"/>
    </xf>
    <xf numFmtId="171" fontId="34" fillId="0" borderId="33" xfId="0" applyNumberFormat="1" applyFont="1" applyFill="1" applyBorder="1" applyAlignment="1" applyProtection="1">
      <alignment horizontal="center" vertical="center"/>
      <protection hidden="1"/>
    </xf>
    <xf numFmtId="0" fontId="33" fillId="0" borderId="37" xfId="0" applyFont="1" applyFill="1" applyBorder="1" applyAlignment="1" applyProtection="1">
      <alignment horizontal="center" vertical="center"/>
      <protection hidden="1"/>
    </xf>
    <xf numFmtId="0" fontId="34" fillId="0" borderId="5" xfId="4" applyFont="1" applyFill="1" applyBorder="1" applyProtection="1">
      <alignment horizontal="center" vertical="center"/>
      <protection hidden="1"/>
    </xf>
    <xf numFmtId="164" fontId="34" fillId="0" borderId="52" xfId="0" applyNumberFormat="1" applyFont="1" applyFill="1" applyBorder="1" applyAlignment="1" applyProtection="1">
      <alignment horizontal="center" vertical="center"/>
      <protection hidden="1"/>
    </xf>
    <xf numFmtId="169" fontId="34" fillId="0" borderId="58" xfId="0" applyNumberFormat="1" applyFont="1" applyFill="1" applyBorder="1" applyAlignment="1" applyProtection="1">
      <alignment horizontal="center" vertical="center"/>
      <protection hidden="1"/>
    </xf>
    <xf numFmtId="0" fontId="34" fillId="0" borderId="53" xfId="0" applyFont="1" applyFill="1" applyBorder="1" applyAlignment="1" applyProtection="1">
      <alignment horizontal="center" vertical="center"/>
      <protection hidden="1"/>
    </xf>
    <xf numFmtId="164" fontId="34" fillId="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 applyProtection="1">
      <alignment horizontal="center" vertical="center"/>
      <protection hidden="1"/>
    </xf>
    <xf numFmtId="169" fontId="34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0" borderId="40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vertical="center" textRotation="90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Protection="1">
      <protection hidden="1"/>
    </xf>
    <xf numFmtId="0" fontId="35" fillId="0" borderId="32" xfId="0" applyFont="1" applyBorder="1" applyAlignment="1" applyProtection="1">
      <alignment vertical="center" textRotation="90"/>
      <protection hidden="1"/>
    </xf>
    <xf numFmtId="0" fontId="34" fillId="0" borderId="32" xfId="0" applyFont="1" applyBorder="1" applyAlignment="1" applyProtection="1">
      <protection hidden="1"/>
    </xf>
    <xf numFmtId="0" fontId="34" fillId="0" borderId="32" xfId="0" applyFont="1" applyBorder="1" applyProtection="1">
      <protection hidden="1"/>
    </xf>
    <xf numFmtId="0" fontId="34" fillId="0" borderId="15" xfId="0" applyFont="1" applyBorder="1" applyProtection="1">
      <protection hidden="1"/>
    </xf>
    <xf numFmtId="0" fontId="34" fillId="0" borderId="15" xfId="0" applyFont="1" applyBorder="1" applyAlignment="1" applyProtection="1">
      <alignment horizontal="center" vertical="center"/>
      <protection hidden="1"/>
    </xf>
    <xf numFmtId="0" fontId="34" fillId="0" borderId="16" xfId="0" applyFont="1" applyBorder="1" applyAlignment="1" applyProtection="1">
      <alignment horizontal="center" vertical="center"/>
      <protection hidden="1"/>
    </xf>
    <xf numFmtId="0" fontId="33" fillId="20" borderId="5" xfId="0" applyFont="1" applyFill="1" applyBorder="1" applyAlignment="1" applyProtection="1">
      <alignment horizontal="center"/>
      <protection hidden="1"/>
    </xf>
    <xf numFmtId="0" fontId="33" fillId="20" borderId="5" xfId="0" applyFont="1" applyFill="1" applyBorder="1" applyAlignment="1" applyProtection="1">
      <alignment horizontal="center" vertical="center"/>
      <protection hidden="1"/>
    </xf>
    <xf numFmtId="171" fontId="33" fillId="20" borderId="5" xfId="0" applyNumberFormat="1" applyFont="1" applyFill="1" applyBorder="1" applyAlignment="1" applyProtection="1">
      <alignment horizontal="center" vertical="center"/>
      <protection hidden="1"/>
    </xf>
    <xf numFmtId="3" fontId="33" fillId="19" borderId="46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3" fillId="20" borderId="1" xfId="0" applyFont="1" applyFill="1" applyBorder="1" applyAlignment="1" applyProtection="1">
      <alignment horizontal="center" vertical="center"/>
      <protection hidden="1"/>
    </xf>
    <xf numFmtId="0" fontId="33" fillId="20" borderId="20" xfId="0" applyFont="1" applyFill="1" applyBorder="1" applyAlignment="1" applyProtection="1">
      <alignment horizontal="center" vertical="center"/>
      <protection hidden="1"/>
    </xf>
    <xf numFmtId="171" fontId="33" fillId="20" borderId="20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3" fillId="20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3" fillId="20" borderId="1" xfId="0" applyFont="1" applyFill="1" applyBorder="1" applyAlignment="1" applyProtection="1">
      <alignment horizontal="center"/>
      <protection hidden="1"/>
    </xf>
    <xf numFmtId="171" fontId="33" fillId="20" borderId="8" xfId="0" applyNumberFormat="1" applyFont="1" applyFill="1" applyBorder="1" applyAlignment="1" applyProtection="1">
      <alignment horizontal="center" vertical="center"/>
      <protection hidden="1"/>
    </xf>
    <xf numFmtId="0" fontId="33" fillId="20" borderId="8" xfId="0" applyFont="1" applyFill="1" applyBorder="1" applyAlignment="1" applyProtection="1">
      <alignment horizontal="center" vertical="center"/>
      <protection hidden="1"/>
    </xf>
    <xf numFmtId="0" fontId="35" fillId="0" borderId="43" xfId="0" applyFont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center" vertical="center"/>
      <protection hidden="1"/>
    </xf>
    <xf numFmtId="3" fontId="33" fillId="0" borderId="43" xfId="0" applyNumberFormat="1" applyFont="1" applyFill="1" applyBorder="1" applyAlignment="1" applyProtection="1">
      <alignment horizontal="center" vertical="center" wrapText="1"/>
      <protection hidden="1"/>
    </xf>
    <xf numFmtId="171" fontId="33" fillId="0" borderId="43" xfId="0" applyNumberFormat="1" applyFont="1" applyFill="1" applyBorder="1" applyAlignment="1" applyProtection="1">
      <alignment horizontal="center" vertical="center"/>
      <protection hidden="1"/>
    </xf>
    <xf numFmtId="168" fontId="33" fillId="0" borderId="43" xfId="0" applyNumberFormat="1" applyFont="1" applyFill="1" applyBorder="1" applyAlignment="1" applyProtection="1">
      <alignment horizontal="center" vertical="center"/>
      <protection hidden="1"/>
    </xf>
    <xf numFmtId="3" fontId="33" fillId="19" borderId="4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3" fillId="20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78" fontId="33" fillId="20" borderId="8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24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3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3" fillId="0" borderId="0" xfId="0" applyNumberFormat="1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4" xfId="0" applyFont="1" applyBorder="1" applyProtection="1">
      <protection hidden="1"/>
    </xf>
    <xf numFmtId="171" fontId="34" fillId="0" borderId="1" xfId="0" applyNumberFormat="1" applyFont="1" applyBorder="1" applyAlignment="1" applyProtection="1">
      <alignment horizontal="center" vertical="center" wrapText="1"/>
      <protection hidden="1"/>
    </xf>
    <xf numFmtId="2" fontId="33" fillId="2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24" xfId="0" applyFont="1" applyBorder="1" applyProtection="1">
      <protection hidden="1"/>
    </xf>
    <xf numFmtId="0" fontId="33" fillId="6" borderId="4" xfId="0" applyFont="1" applyFill="1" applyBorder="1" applyAlignment="1" applyProtection="1">
      <alignment horizontal="center" vertical="center"/>
      <protection hidden="1"/>
    </xf>
    <xf numFmtId="175" fontId="33" fillId="0" borderId="44" xfId="0" applyNumberFormat="1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175" fontId="33" fillId="2" borderId="5" xfId="0" applyNumberFormat="1" applyFont="1" applyFill="1" applyBorder="1" applyAlignment="1" applyProtection="1">
      <alignment horizontal="center" vertical="center"/>
      <protection hidden="1"/>
    </xf>
    <xf numFmtId="0" fontId="33" fillId="6" borderId="7" xfId="0" applyFont="1" applyFill="1" applyBorder="1" applyAlignment="1" applyProtection="1">
      <alignment vertical="center"/>
      <protection hidden="1"/>
    </xf>
    <xf numFmtId="0" fontId="18" fillId="6" borderId="58" xfId="0" applyFont="1" applyFill="1" applyBorder="1" applyAlignment="1" applyProtection="1">
      <alignment vertical="center"/>
      <protection hidden="1"/>
    </xf>
    <xf numFmtId="0" fontId="18" fillId="6" borderId="43" xfId="0" applyFont="1" applyFill="1" applyBorder="1" applyAlignment="1" applyProtection="1">
      <alignment vertical="center"/>
      <protection hidden="1"/>
    </xf>
    <xf numFmtId="0" fontId="18" fillId="6" borderId="6" xfId="0" applyFont="1" applyFill="1" applyBorder="1" applyAlignment="1" applyProtection="1">
      <alignment vertical="center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0" fontId="33" fillId="0" borderId="45" xfId="0" applyFont="1" applyFill="1" applyBorder="1" applyAlignment="1" applyProtection="1">
      <alignment horizontal="center" vertical="center"/>
      <protection hidden="1"/>
    </xf>
    <xf numFmtId="0" fontId="33" fillId="0" borderId="44" xfId="0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vertical="center"/>
      <protection hidden="1"/>
    </xf>
    <xf numFmtId="0" fontId="33" fillId="0" borderId="1" xfId="0" applyFont="1" applyFill="1" applyBorder="1" applyAlignment="1" applyProtection="1">
      <alignment vertical="center"/>
      <protection hidden="1"/>
    </xf>
    <xf numFmtId="0" fontId="33" fillId="0" borderId="45" xfId="0" applyFont="1" applyFill="1" applyBorder="1" applyAlignment="1" applyProtection="1">
      <alignment vertical="center"/>
      <protection hidden="1"/>
    </xf>
    <xf numFmtId="171" fontId="33" fillId="0" borderId="1" xfId="0" applyNumberFormat="1" applyFont="1" applyFill="1" applyBorder="1" applyAlignment="1" applyProtection="1">
      <alignment horizontal="center" vertical="center"/>
      <protection hidden="1"/>
    </xf>
    <xf numFmtId="171" fontId="33" fillId="0" borderId="1" xfId="0" applyNumberFormat="1" applyFont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33" fillId="0" borderId="45" xfId="0" applyFont="1" applyBorder="1" applyAlignment="1" applyProtection="1">
      <alignment horizontal="center" vertical="center"/>
      <protection hidden="1"/>
    </xf>
    <xf numFmtId="0" fontId="33" fillId="0" borderId="7" xfId="0" applyFont="1" applyFill="1" applyBorder="1" applyAlignment="1" applyProtection="1">
      <alignment horizontal="center" vertical="center"/>
      <protection hidden="1"/>
    </xf>
    <xf numFmtId="2" fontId="33" fillId="0" borderId="40" xfId="0" applyNumberFormat="1" applyFont="1" applyFill="1" applyBorder="1" applyAlignment="1" applyProtection="1">
      <alignment vertical="center"/>
      <protection hidden="1"/>
    </xf>
    <xf numFmtId="0" fontId="33" fillId="0" borderId="13" xfId="0" applyFont="1" applyFill="1" applyBorder="1" applyAlignment="1" applyProtection="1">
      <alignment vertical="center"/>
      <protection hidden="1"/>
    </xf>
    <xf numFmtId="0" fontId="33" fillId="0" borderId="8" xfId="0" applyFont="1" applyFill="1" applyBorder="1" applyAlignment="1" applyProtection="1">
      <alignment vertical="center"/>
      <protection hidden="1"/>
    </xf>
    <xf numFmtId="0" fontId="33" fillId="0" borderId="12" xfId="0" applyFont="1" applyFill="1" applyBorder="1" applyAlignment="1" applyProtection="1">
      <protection hidden="1"/>
    </xf>
    <xf numFmtId="175" fontId="33" fillId="0" borderId="7" xfId="0" applyNumberFormat="1" applyFont="1" applyFill="1" applyBorder="1" applyAlignment="1" applyProtection="1">
      <alignment horizontal="center" vertical="center"/>
      <protection hidden="1"/>
    </xf>
    <xf numFmtId="0" fontId="33" fillId="0" borderId="8" xfId="0" applyFont="1" applyBorder="1" applyAlignment="1" applyProtection="1">
      <alignment horizontal="center" vertical="center"/>
      <protection hidden="1"/>
    </xf>
    <xf numFmtId="171" fontId="33" fillId="0" borderId="8" xfId="0" applyNumberFormat="1" applyFont="1" applyBorder="1" applyAlignment="1" applyProtection="1">
      <alignment horizontal="center" vertical="center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38" fillId="0" borderId="0" xfId="0" applyFont="1" applyProtection="1">
      <protection hidden="1"/>
    </xf>
    <xf numFmtId="0" fontId="34" fillId="0" borderId="22" xfId="0" applyFont="1" applyBorder="1" applyAlignment="1" applyProtection="1">
      <protection hidden="1"/>
    </xf>
    <xf numFmtId="0" fontId="34" fillId="0" borderId="54" xfId="0" applyFont="1" applyBorder="1" applyAlignment="1" applyProtection="1">
      <protection hidden="1"/>
    </xf>
    <xf numFmtId="0" fontId="34" fillId="0" borderId="62" xfId="0" applyFont="1" applyBorder="1" applyAlignment="1" applyProtection="1">
      <alignment horizontal="center" vertical="center"/>
      <protection hidden="1"/>
    </xf>
    <xf numFmtId="165" fontId="3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2" fontId="8" fillId="6" borderId="19" xfId="0" applyNumberFormat="1" applyFont="1" applyFill="1" applyBorder="1" applyAlignment="1" applyProtection="1">
      <alignment horizontal="center" vertical="center"/>
      <protection hidden="1"/>
    </xf>
    <xf numFmtId="2" fontId="8" fillId="6" borderId="3" xfId="0" applyNumberFormat="1" applyFont="1" applyFill="1" applyBorder="1" applyAlignment="1" applyProtection="1">
      <alignment horizontal="center" vertical="center"/>
      <protection hidden="1"/>
    </xf>
    <xf numFmtId="2" fontId="14" fillId="6" borderId="3" xfId="0" applyNumberFormat="1" applyFont="1" applyFill="1" applyBorder="1" applyAlignment="1" applyProtection="1">
      <alignment horizontal="left" vertical="center" wrapText="1"/>
      <protection hidden="1"/>
    </xf>
    <xf numFmtId="2" fontId="9" fillId="6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4" fillId="22" borderId="5" xfId="0" applyFont="1" applyFill="1" applyBorder="1" applyAlignment="1" applyProtection="1">
      <alignment horizontal="center" vertical="center"/>
      <protection hidden="1"/>
    </xf>
    <xf numFmtId="168" fontId="34" fillId="22" borderId="5" xfId="0" applyNumberFormat="1" applyFont="1" applyFill="1" applyBorder="1" applyAlignment="1" applyProtection="1">
      <alignment horizontal="center" vertical="center"/>
      <protection hidden="1"/>
    </xf>
    <xf numFmtId="2" fontId="34" fillId="22" borderId="5" xfId="0" applyNumberFormat="1" applyFont="1" applyFill="1" applyBorder="1" applyAlignment="1" applyProtection="1">
      <alignment horizontal="center" vertical="center"/>
      <protection hidden="1"/>
    </xf>
    <xf numFmtId="166" fontId="34" fillId="22" borderId="5" xfId="0" applyNumberFormat="1" applyFont="1" applyFill="1" applyBorder="1" applyAlignment="1" applyProtection="1">
      <alignment horizontal="center" vertical="center"/>
      <protection hidden="1"/>
    </xf>
    <xf numFmtId="169" fontId="34" fillId="22" borderId="5" xfId="0" applyNumberFormat="1" applyFont="1" applyFill="1" applyBorder="1" applyAlignment="1" applyProtection="1">
      <alignment horizontal="center" vertical="center"/>
      <protection hidden="1"/>
    </xf>
    <xf numFmtId="0" fontId="34" fillId="22" borderId="42" xfId="0" applyFont="1" applyFill="1" applyBorder="1" applyAlignment="1" applyProtection="1">
      <alignment horizontal="center" vertical="center"/>
      <protection hidden="1"/>
    </xf>
    <xf numFmtId="0" fontId="34" fillId="22" borderId="1" xfId="0" applyFont="1" applyFill="1" applyBorder="1" applyAlignment="1" applyProtection="1">
      <alignment horizontal="center" vertical="center"/>
      <protection hidden="1"/>
    </xf>
    <xf numFmtId="165" fontId="34" fillId="22" borderId="1" xfId="0" applyNumberFormat="1" applyFont="1" applyFill="1" applyBorder="1" applyAlignment="1" applyProtection="1">
      <alignment horizontal="center" vertical="center"/>
      <protection hidden="1"/>
    </xf>
    <xf numFmtId="171" fontId="34" fillId="22" borderId="1" xfId="0" applyNumberFormat="1" applyFont="1" applyFill="1" applyBorder="1" applyAlignment="1" applyProtection="1">
      <alignment horizontal="center" vertical="center"/>
      <protection hidden="1"/>
    </xf>
    <xf numFmtId="169" fontId="34" fillId="22" borderId="1" xfId="0" applyNumberFormat="1" applyFont="1" applyFill="1" applyBorder="1" applyAlignment="1" applyProtection="1">
      <alignment horizontal="center" vertical="center"/>
      <protection hidden="1"/>
    </xf>
    <xf numFmtId="0" fontId="34" fillId="22" borderId="8" xfId="0" applyFont="1" applyFill="1" applyBorder="1" applyAlignment="1" applyProtection="1">
      <alignment horizontal="center" vertical="center"/>
      <protection hidden="1"/>
    </xf>
    <xf numFmtId="0" fontId="34" fillId="22" borderId="10" xfId="0" applyFont="1" applyFill="1" applyBorder="1" applyAlignment="1" applyProtection="1">
      <alignment horizontal="center" vertical="center"/>
      <protection hidden="1"/>
    </xf>
    <xf numFmtId="168" fontId="34" fillId="22" borderId="10" xfId="0" applyNumberFormat="1" applyFont="1" applyFill="1" applyBorder="1" applyAlignment="1" applyProtection="1">
      <alignment horizontal="center" vertical="center"/>
      <protection hidden="1"/>
    </xf>
    <xf numFmtId="169" fontId="34" fillId="22" borderId="8" xfId="0" applyNumberFormat="1" applyFont="1" applyFill="1" applyBorder="1" applyAlignment="1" applyProtection="1">
      <alignment horizontal="center" vertical="center"/>
      <protection hidden="1"/>
    </xf>
    <xf numFmtId="171" fontId="34" fillId="22" borderId="52" xfId="0" applyNumberFormat="1" applyFont="1" applyFill="1" applyBorder="1" applyAlignment="1" applyProtection="1">
      <alignment horizontal="center" vertical="center"/>
      <protection hidden="1"/>
    </xf>
    <xf numFmtId="169" fontId="34" fillId="22" borderId="58" xfId="0" applyNumberFormat="1" applyFont="1" applyFill="1" applyBorder="1" applyAlignment="1" applyProtection="1">
      <alignment horizontal="center" vertical="center"/>
      <protection hidden="1"/>
    </xf>
    <xf numFmtId="0" fontId="34" fillId="22" borderId="52" xfId="0" applyFont="1" applyFill="1" applyBorder="1" applyAlignment="1" applyProtection="1">
      <alignment horizontal="center" vertical="center"/>
      <protection hidden="1"/>
    </xf>
    <xf numFmtId="0" fontId="34" fillId="22" borderId="11" xfId="0" applyFont="1" applyFill="1" applyBorder="1" applyAlignment="1" applyProtection="1">
      <alignment horizontal="center" vertical="center"/>
      <protection hidden="1"/>
    </xf>
    <xf numFmtId="164" fontId="34" fillId="22" borderId="1" xfId="0" applyNumberFormat="1" applyFont="1" applyFill="1" applyBorder="1" applyAlignment="1" applyProtection="1">
      <alignment horizontal="center" vertical="center"/>
      <protection hidden="1"/>
    </xf>
    <xf numFmtId="166" fontId="34" fillId="22" borderId="1" xfId="0" applyNumberFormat="1" applyFont="1" applyFill="1" applyBorder="1" applyAlignment="1" applyProtection="1">
      <alignment horizontal="center" vertical="center"/>
      <protection hidden="1"/>
    </xf>
    <xf numFmtId="164" fontId="34" fillId="22" borderId="5" xfId="0" applyNumberFormat="1" applyFont="1" applyFill="1" applyBorder="1" applyAlignment="1" applyProtection="1">
      <alignment horizontal="center" vertical="center"/>
      <protection hidden="1"/>
    </xf>
    <xf numFmtId="2" fontId="34" fillId="22" borderId="1" xfId="0" applyNumberFormat="1" applyFont="1" applyFill="1" applyBorder="1" applyAlignment="1" applyProtection="1">
      <alignment horizontal="center" vertical="center"/>
      <protection hidden="1"/>
    </xf>
    <xf numFmtId="171" fontId="34" fillId="22" borderId="8" xfId="0" applyNumberFormat="1" applyFont="1" applyFill="1" applyBorder="1" applyAlignment="1" applyProtection="1">
      <alignment horizontal="center" vertical="center"/>
      <protection hidden="1"/>
    </xf>
    <xf numFmtId="0" fontId="33" fillId="22" borderId="37" xfId="0" applyFont="1" applyFill="1" applyBorder="1" applyAlignment="1" applyProtection="1">
      <alignment horizontal="center" vertical="center"/>
      <protection hidden="1"/>
    </xf>
    <xf numFmtId="0" fontId="33" fillId="22" borderId="34" xfId="0" applyFont="1" applyFill="1" applyBorder="1" applyAlignment="1" applyProtection="1">
      <alignment horizontal="center" vertical="center"/>
      <protection hidden="1"/>
    </xf>
    <xf numFmtId="0" fontId="34" fillId="22" borderId="33" xfId="0" applyFont="1" applyFill="1" applyBorder="1" applyAlignment="1" applyProtection="1">
      <alignment horizontal="center" vertical="center"/>
      <protection hidden="1"/>
    </xf>
    <xf numFmtId="168" fontId="34" fillId="22" borderId="33" xfId="0" applyNumberFormat="1" applyFont="1" applyFill="1" applyBorder="1" applyAlignment="1" applyProtection="1">
      <alignment horizontal="center" vertical="center"/>
      <protection hidden="1"/>
    </xf>
    <xf numFmtId="169" fontId="34" fillId="22" borderId="31" xfId="0" applyNumberFormat="1" applyFont="1" applyFill="1" applyBorder="1" applyAlignment="1" applyProtection="1">
      <alignment horizontal="center" vertical="center"/>
      <protection hidden="1"/>
    </xf>
    <xf numFmtId="164" fontId="34" fillId="22" borderId="27" xfId="0" applyNumberFormat="1" applyFont="1" applyFill="1" applyBorder="1" applyAlignment="1" applyProtection="1">
      <alignment horizontal="center" vertical="center"/>
      <protection hidden="1"/>
    </xf>
    <xf numFmtId="168" fontId="34" fillId="22" borderId="1" xfId="0" applyNumberFormat="1" applyFont="1" applyFill="1" applyBorder="1" applyAlignment="1" applyProtection="1">
      <alignment horizontal="center" vertical="center"/>
      <protection hidden="1"/>
    </xf>
    <xf numFmtId="168" fontId="34" fillId="22" borderId="8" xfId="0" applyNumberFormat="1" applyFont="1" applyFill="1" applyBorder="1" applyAlignment="1" applyProtection="1">
      <alignment horizontal="center" vertical="center"/>
      <protection hidden="1"/>
    </xf>
    <xf numFmtId="0" fontId="34" fillId="22" borderId="48" xfId="0" applyFont="1" applyFill="1" applyBorder="1" applyAlignment="1" applyProtection="1">
      <alignment horizontal="center" vertical="center" wrapText="1"/>
      <protection hidden="1"/>
    </xf>
    <xf numFmtId="0" fontId="34" fillId="22" borderId="5" xfId="0" applyFont="1" applyFill="1" applyBorder="1" applyAlignment="1" applyProtection="1">
      <alignment horizontal="center" vertical="center" wrapText="1"/>
      <protection hidden="1"/>
    </xf>
    <xf numFmtId="0" fontId="34" fillId="22" borderId="1" xfId="0" applyFont="1" applyFill="1" applyBorder="1" applyAlignment="1" applyProtection="1">
      <alignment horizontal="center" vertical="center" wrapText="1"/>
      <protection hidden="1"/>
    </xf>
    <xf numFmtId="0" fontId="34" fillId="22" borderId="8" xfId="0" applyFont="1" applyFill="1" applyBorder="1" applyAlignment="1" applyProtection="1">
      <alignment horizontal="center" vertical="center" wrapText="1"/>
      <protection hidden="1"/>
    </xf>
    <xf numFmtId="0" fontId="34" fillId="22" borderId="4" xfId="0" applyFont="1" applyFill="1" applyBorder="1" applyAlignment="1" applyProtection="1">
      <alignment horizontal="center" vertical="center" wrapText="1"/>
      <protection hidden="1"/>
    </xf>
    <xf numFmtId="0" fontId="34" fillId="22" borderId="44" xfId="0" applyFont="1" applyFill="1" applyBorder="1" applyAlignment="1" applyProtection="1">
      <alignment horizontal="center" vertical="center" wrapText="1"/>
      <protection hidden="1"/>
    </xf>
    <xf numFmtId="0" fontId="34" fillId="22" borderId="7" xfId="0" applyFont="1" applyFill="1" applyBorder="1" applyAlignment="1" applyProtection="1">
      <alignment horizontal="center" vertical="center" wrapText="1"/>
      <protection hidden="1"/>
    </xf>
    <xf numFmtId="0" fontId="34" fillId="22" borderId="1" xfId="0" applyFont="1" applyFill="1" applyBorder="1" applyProtection="1">
      <protection hidden="1"/>
    </xf>
    <xf numFmtId="0" fontId="34" fillId="22" borderId="1" xfId="4" applyFont="1" applyFill="1" applyBorder="1" applyProtection="1">
      <alignment horizontal="center" vertical="center"/>
      <protection hidden="1"/>
    </xf>
    <xf numFmtId="0" fontId="34" fillId="22" borderId="8" xfId="4" applyFont="1" applyFill="1" applyBorder="1" applyProtection="1">
      <alignment horizontal="center" vertical="center"/>
      <protection hidden="1"/>
    </xf>
    <xf numFmtId="0" fontId="34" fillId="22" borderId="8" xfId="0" applyFont="1" applyFill="1" applyBorder="1" applyProtection="1">
      <protection hidden="1"/>
    </xf>
    <xf numFmtId="0" fontId="34" fillId="22" borderId="55" xfId="0" applyFont="1" applyFill="1" applyBorder="1" applyAlignment="1" applyProtection="1">
      <alignment horizontal="center" vertical="center"/>
      <protection hidden="1"/>
    </xf>
    <xf numFmtId="0" fontId="34" fillId="22" borderId="45" xfId="0" applyFont="1" applyFill="1" applyBorder="1" applyAlignment="1" applyProtection="1">
      <alignment horizontal="center" vertical="center"/>
      <protection hidden="1"/>
    </xf>
    <xf numFmtId="0" fontId="34" fillId="22" borderId="12" xfId="0" applyFont="1" applyFill="1" applyBorder="1" applyAlignment="1" applyProtection="1">
      <alignment horizontal="center" vertical="center"/>
      <protection hidden="1"/>
    </xf>
    <xf numFmtId="0" fontId="33" fillId="22" borderId="5" xfId="0" applyFont="1" applyFill="1" applyBorder="1" applyAlignment="1" applyProtection="1">
      <alignment horizontal="center" vertical="center"/>
      <protection hidden="1"/>
    </xf>
    <xf numFmtId="0" fontId="33" fillId="22" borderId="1" xfId="0" applyFont="1" applyFill="1" applyBorder="1" applyAlignment="1" applyProtection="1">
      <alignment horizontal="center" vertical="center"/>
      <protection hidden="1"/>
    </xf>
    <xf numFmtId="171" fontId="33" fillId="22" borderId="1" xfId="0" applyNumberFormat="1" applyFont="1" applyFill="1" applyBorder="1" applyAlignment="1" applyProtection="1">
      <alignment horizontal="center" vertical="center"/>
      <protection hidden="1"/>
    </xf>
    <xf numFmtId="171" fontId="33" fillId="22" borderId="5" xfId="0" applyNumberFormat="1" applyFont="1" applyFill="1" applyBorder="1" applyAlignment="1" applyProtection="1">
      <alignment horizontal="center" vertical="center"/>
      <protection hidden="1"/>
    </xf>
    <xf numFmtId="171" fontId="33" fillId="22" borderId="20" xfId="0" applyNumberFormat="1" applyFont="1" applyFill="1" applyBorder="1" applyAlignment="1" applyProtection="1">
      <alignment horizontal="center" vertical="center"/>
      <protection hidden="1"/>
    </xf>
    <xf numFmtId="0" fontId="33" fillId="22" borderId="20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171" fontId="33" fillId="2" borderId="8" xfId="0" applyNumberFormat="1" applyFont="1" applyFill="1" applyBorder="1" applyAlignment="1" applyProtection="1">
      <alignment horizontal="center" vertical="center"/>
      <protection hidden="1"/>
    </xf>
    <xf numFmtId="0" fontId="33" fillId="2" borderId="8" xfId="0" applyFont="1" applyFill="1" applyBorder="1" applyAlignment="1" applyProtection="1">
      <alignment horizontal="center" vertical="center"/>
      <protection hidden="1"/>
    </xf>
    <xf numFmtId="178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1" xfId="0" applyNumberFormat="1" applyFont="1" applyFill="1" applyBorder="1" applyAlignment="1" applyProtection="1">
      <alignment horizontal="center" vertical="center"/>
      <protection hidden="1"/>
    </xf>
    <xf numFmtId="178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8" fontId="3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22" borderId="1" xfId="0" applyFont="1" applyFill="1" applyBorder="1" applyAlignment="1" applyProtection="1">
      <alignment horizontal="center" vertical="center" wrapText="1"/>
      <protection hidden="1"/>
    </xf>
    <xf numFmtId="0" fontId="0" fillId="22" borderId="1" xfId="0" applyFill="1" applyBorder="1" applyAlignment="1" applyProtection="1">
      <alignment horizontal="center" vertical="center" wrapText="1"/>
      <protection hidden="1"/>
    </xf>
    <xf numFmtId="0" fontId="33" fillId="22" borderId="54" xfId="0" applyFont="1" applyFill="1" applyBorder="1" applyAlignment="1" applyProtection="1">
      <alignment horizontal="center" vertical="center"/>
      <protection hidden="1"/>
    </xf>
    <xf numFmtId="171" fontId="0" fillId="22" borderId="1" xfId="0" applyNumberFormat="1" applyFill="1" applyBorder="1" applyAlignment="1" applyProtection="1">
      <alignment horizontal="center" vertical="center" wrapText="1"/>
      <protection hidden="1"/>
    </xf>
    <xf numFmtId="171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2" fontId="33" fillId="2" borderId="1" xfId="0" applyNumberFormat="1" applyFont="1" applyFill="1" applyBorder="1" applyAlignment="1" applyProtection="1">
      <alignment horizontal="center" vertical="center"/>
      <protection hidden="1"/>
    </xf>
    <xf numFmtId="178" fontId="0" fillId="22" borderId="1" xfId="0" applyNumberFormat="1" applyFill="1" applyBorder="1" applyAlignment="1" applyProtection="1">
      <alignment horizontal="center" vertical="center" wrapText="1"/>
      <protection hidden="1"/>
    </xf>
    <xf numFmtId="171" fontId="34" fillId="22" borderId="1" xfId="0" applyNumberFormat="1" applyFont="1" applyFill="1" applyBorder="1" applyAlignment="1" applyProtection="1">
      <alignment horizontal="center" vertical="center" wrapText="1"/>
      <protection hidden="1"/>
    </xf>
    <xf numFmtId="172" fontId="10" fillId="9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Protection="1">
      <protection hidden="1"/>
    </xf>
    <xf numFmtId="0" fontId="33" fillId="0" borderId="46" xfId="0" applyNumberFormat="1" applyFont="1" applyBorder="1" applyAlignment="1" applyProtection="1">
      <protection hidden="1"/>
    </xf>
    <xf numFmtId="0" fontId="33" fillId="0" borderId="20" xfId="0" applyNumberFormat="1" applyFont="1" applyBorder="1" applyAlignment="1" applyProtection="1">
      <protection hidden="1"/>
    </xf>
    <xf numFmtId="0" fontId="34" fillId="0" borderId="47" xfId="0" applyFont="1" applyBorder="1" applyProtection="1">
      <protection hidden="1"/>
    </xf>
    <xf numFmtId="0" fontId="34" fillId="0" borderId="44" xfId="0" applyFont="1" applyBorder="1" applyAlignment="1" applyProtection="1">
      <alignment horizontal="center" vertical="center"/>
      <protection hidden="1"/>
    </xf>
    <xf numFmtId="0" fontId="34" fillId="0" borderId="7" xfId="0" applyFont="1" applyBorder="1" applyProtection="1">
      <protection hidden="1"/>
    </xf>
    <xf numFmtId="0" fontId="34" fillId="0" borderId="12" xfId="0" applyFont="1" applyBorder="1" applyProtection="1">
      <protection hidden="1"/>
    </xf>
    <xf numFmtId="10" fontId="34" fillId="0" borderId="45" xfId="0" applyNumberFormat="1" applyFont="1" applyBorder="1" applyAlignment="1" applyProtection="1">
      <alignment horizontal="center" vertical="center"/>
      <protection hidden="1"/>
    </xf>
    <xf numFmtId="0" fontId="34" fillId="0" borderId="46" xfId="0" applyFont="1" applyBorder="1" applyProtection="1">
      <protection hidden="1"/>
    </xf>
    <xf numFmtId="1" fontId="10" fillId="9" borderId="20" xfId="0" applyNumberFormat="1" applyFont="1" applyFill="1" applyBorder="1" applyAlignment="1" applyProtection="1">
      <alignment horizontal="center"/>
      <protection hidden="1"/>
    </xf>
    <xf numFmtId="1" fontId="10" fillId="9" borderId="1" xfId="0" applyNumberFormat="1" applyFont="1" applyFill="1" applyBorder="1" applyAlignment="1" applyProtection="1">
      <alignment horizontal="center"/>
      <protection hidden="1"/>
    </xf>
    <xf numFmtId="1" fontId="8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Protection="1">
      <protection locked="0" hidden="1"/>
    </xf>
    <xf numFmtId="2" fontId="8" fillId="2" borderId="0" xfId="0" applyNumberFormat="1" applyFont="1" applyFill="1" applyBorder="1" applyAlignment="1" applyProtection="1">
      <alignment vertical="center"/>
      <protection locked="0" hidden="1"/>
    </xf>
    <xf numFmtId="2" fontId="45" fillId="6" borderId="20" xfId="0" applyNumberFormat="1" applyFont="1" applyFill="1" applyBorder="1" applyAlignment="1" applyProtection="1">
      <alignment horizontal="center" vertical="center"/>
      <protection hidden="1"/>
    </xf>
    <xf numFmtId="1" fontId="8" fillId="14" borderId="37" xfId="3" applyNumberFormat="1" applyFont="1" applyBorder="1" applyAlignment="1" applyProtection="1">
      <alignment horizontal="center" vertical="center"/>
      <protection locked="0" hidden="1"/>
    </xf>
    <xf numFmtId="1" fontId="8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14" fillId="14" borderId="37" xfId="3" applyNumberFormat="1" applyFont="1" applyBorder="1" applyAlignment="1" applyProtection="1">
      <alignment horizontal="center" vertical="center"/>
      <protection locked="0" hidden="1"/>
    </xf>
    <xf numFmtId="1" fontId="9" fillId="14" borderId="37" xfId="3" applyNumberFormat="1" applyFont="1" applyBorder="1" applyAlignment="1" applyProtection="1">
      <alignment horizontal="center" vertical="center"/>
      <protection locked="0" hidden="1"/>
    </xf>
    <xf numFmtId="1" fontId="10" fillId="14" borderId="37" xfId="3" applyNumberFormat="1" applyFont="1" applyBorder="1" applyAlignment="1" applyProtection="1">
      <alignment horizontal="center" vertical="center"/>
      <protection locked="0" hidden="1"/>
    </xf>
    <xf numFmtId="2" fontId="5" fillId="14" borderId="37" xfId="3" applyBorder="1" applyAlignment="1" applyProtection="1">
      <alignment horizontal="center" vertical="center"/>
      <protection locked="0" hidden="1"/>
    </xf>
    <xf numFmtId="171" fontId="8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8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8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8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8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8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8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8" fillId="7" borderId="37" xfId="0" applyNumberFormat="1" applyFont="1" applyFill="1" applyBorder="1" applyAlignment="1" applyProtection="1">
      <alignment horizontal="center" vertical="center" wrapText="1"/>
      <protection locked="0" hidden="1"/>
    </xf>
    <xf numFmtId="3" fontId="33" fillId="23" borderId="46" xfId="0" applyNumberFormat="1" applyFont="1" applyFill="1" applyBorder="1" applyAlignment="1" applyProtection="1">
      <alignment horizontal="center" vertical="center" wrapText="1"/>
      <protection hidden="1"/>
    </xf>
    <xf numFmtId="0" fontId="34" fillId="22" borderId="20" xfId="0" applyFont="1" applyFill="1" applyBorder="1" applyAlignment="1" applyProtection="1">
      <alignment horizontal="center" vertical="center"/>
      <protection hidden="1"/>
    </xf>
    <xf numFmtId="168" fontId="34" fillId="22" borderId="20" xfId="0" applyNumberFormat="1" applyFont="1" applyFill="1" applyBorder="1" applyAlignment="1" applyProtection="1">
      <alignment horizontal="center" vertical="center"/>
      <protection hidden="1"/>
    </xf>
    <xf numFmtId="169" fontId="34" fillId="22" borderId="33" xfId="0" applyNumberFormat="1" applyFont="1" applyFill="1" applyBorder="1" applyAlignment="1" applyProtection="1">
      <alignment horizontal="center" vertical="center"/>
      <protection hidden="1"/>
    </xf>
    <xf numFmtId="169" fontId="34" fillId="22" borderId="17" xfId="0" applyNumberFormat="1" applyFont="1" applyFill="1" applyBorder="1" applyAlignment="1" applyProtection="1">
      <alignment horizontal="center" vertical="center"/>
      <protection hidden="1"/>
    </xf>
    <xf numFmtId="171" fontId="8" fillId="7" borderId="1" xfId="0" applyNumberFormat="1" applyFont="1" applyFill="1" applyBorder="1" applyAlignment="1" applyProtection="1">
      <alignment horizontal="center" vertical="center"/>
      <protection hidden="1"/>
    </xf>
    <xf numFmtId="2" fontId="8" fillId="10" borderId="2" xfId="0" applyNumberFormat="1" applyFont="1" applyFill="1" applyBorder="1" applyAlignment="1" applyProtection="1">
      <alignment horizontal="center" vertical="center"/>
      <protection hidden="1"/>
    </xf>
    <xf numFmtId="171" fontId="19" fillId="22" borderId="37" xfId="0" applyNumberFormat="1" applyFont="1" applyFill="1" applyBorder="1" applyAlignment="1" applyProtection="1">
      <alignment horizontal="center" vertical="center"/>
      <protection hidden="1"/>
    </xf>
    <xf numFmtId="171" fontId="19" fillId="9" borderId="37" xfId="0" applyNumberFormat="1" applyFont="1" applyFill="1" applyBorder="1" applyAlignment="1" applyProtection="1">
      <alignment horizontal="center" vertical="center"/>
      <protection hidden="1"/>
    </xf>
    <xf numFmtId="171" fontId="19" fillId="9" borderId="4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8" fontId="6" fillId="0" borderId="0" xfId="0" applyNumberFormat="1" applyFont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justify" vertical="justify" wrapText="1" readingOrder="1"/>
      <protection hidden="1"/>
    </xf>
    <xf numFmtId="168" fontId="46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left" vertical="center" wrapText="1"/>
      <protection hidden="1"/>
    </xf>
    <xf numFmtId="2" fontId="6" fillId="0" borderId="0" xfId="0" applyNumberFormat="1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168" fontId="6" fillId="0" borderId="0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171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justify" wrapText="1"/>
      <protection hidden="1"/>
    </xf>
    <xf numFmtId="1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Protection="1"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2" fontId="6" fillId="0" borderId="0" xfId="0" applyNumberFormat="1" applyFont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right" vertical="center" wrapText="1"/>
      <protection hidden="1"/>
    </xf>
    <xf numFmtId="171" fontId="47" fillId="0" borderId="0" xfId="0" applyNumberFormat="1" applyFont="1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2" fontId="47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horizontal="center" vertical="center" wrapText="1"/>
      <protection hidden="1"/>
    </xf>
    <xf numFmtId="2" fontId="14" fillId="0" borderId="0" xfId="0" applyNumberFormat="1" applyFont="1" applyAlignment="1" applyProtection="1">
      <alignment horizontal="center" vertical="justify" wrapText="1"/>
      <protection hidden="1"/>
    </xf>
    <xf numFmtId="0" fontId="6" fillId="0" borderId="0" xfId="0" applyFont="1" applyAlignment="1" applyProtection="1">
      <alignment vertical="justify" wrapText="1"/>
      <protection hidden="1"/>
    </xf>
    <xf numFmtId="0" fontId="50" fillId="0" borderId="39" xfId="0" applyFont="1" applyBorder="1" applyAlignment="1" applyProtection="1">
      <alignment horizontal="left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168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174" fontId="19" fillId="22" borderId="1" xfId="0" applyNumberFormat="1" applyFont="1" applyFill="1" applyBorder="1" applyAlignment="1" applyProtection="1">
      <alignment horizontal="center" vertical="center"/>
      <protection hidden="1"/>
    </xf>
    <xf numFmtId="164" fontId="14" fillId="22" borderId="1" xfId="0" applyNumberFormat="1" applyFont="1" applyFill="1" applyBorder="1" applyAlignment="1" applyProtection="1">
      <alignment horizontal="center" vertical="center"/>
      <protection hidden="1"/>
    </xf>
    <xf numFmtId="2" fontId="41" fillId="22" borderId="1" xfId="0" applyNumberFormat="1" applyFont="1" applyFill="1" applyBorder="1" applyAlignment="1" applyProtection="1">
      <alignment horizontal="center" vertical="center"/>
      <protection hidden="1"/>
    </xf>
    <xf numFmtId="2" fontId="19" fillId="22" borderId="3" xfId="0" applyNumberFormat="1" applyFont="1" applyFill="1" applyBorder="1" applyAlignment="1" applyProtection="1">
      <alignment horizontal="center" vertical="center"/>
      <protection hidden="1"/>
    </xf>
    <xf numFmtId="2" fontId="19" fillId="22" borderId="20" xfId="0" applyNumberFormat="1" applyFont="1" applyFill="1" applyBorder="1" applyAlignment="1" applyProtection="1">
      <alignment horizontal="center" vertical="center" wrapText="1"/>
      <protection hidden="1"/>
    </xf>
    <xf numFmtId="2" fontId="19" fillId="22" borderId="18" xfId="0" applyNumberFormat="1" applyFont="1" applyFill="1" applyBorder="1" applyAlignment="1" applyProtection="1">
      <alignment horizontal="centerContinuous" vertical="center"/>
      <protection hidden="1"/>
    </xf>
    <xf numFmtId="174" fontId="19" fillId="22" borderId="20" xfId="0" applyNumberFormat="1" applyFont="1" applyFill="1" applyBorder="1" applyAlignment="1" applyProtection="1">
      <alignment horizontal="centerContinuous" vertical="center" wrapText="1"/>
      <protection hidden="1"/>
    </xf>
    <xf numFmtId="2" fontId="6" fillId="0" borderId="0" xfId="0" applyNumberFormat="1" applyFont="1" applyAlignment="1" applyProtection="1">
      <alignment vertical="center"/>
      <protection hidden="1"/>
    </xf>
    <xf numFmtId="2" fontId="47" fillId="2" borderId="0" xfId="0" applyNumberFormat="1" applyFont="1" applyFill="1" applyAlignment="1" applyProtection="1">
      <alignment vertical="center"/>
      <protection hidden="1"/>
    </xf>
    <xf numFmtId="2" fontId="14" fillId="0" borderId="0" xfId="0" applyNumberFormat="1" applyFont="1" applyBorder="1" applyAlignment="1" applyProtection="1">
      <alignment vertical="center" wrapText="1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vertical="center" wrapText="1"/>
      <protection hidden="1"/>
    </xf>
    <xf numFmtId="170" fontId="6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27" fillId="0" borderId="34" xfId="0" applyFont="1" applyBorder="1" applyAlignment="1" applyProtection="1">
      <alignment horizontal="center" vertical="center" wrapText="1"/>
      <protection hidden="1"/>
    </xf>
    <xf numFmtId="0" fontId="27" fillId="0" borderId="37" xfId="0" applyFont="1" applyBorder="1" applyAlignment="1" applyProtection="1">
      <alignment horizontal="center" vertical="center" wrapText="1"/>
      <protection hidden="1"/>
    </xf>
    <xf numFmtId="2" fontId="6" fillId="0" borderId="0" xfId="0" applyNumberFormat="1" applyFont="1" applyAlignment="1" applyProtection="1">
      <alignment horizontal="center" vertical="center" wrapText="1"/>
      <protection hidden="1"/>
    </xf>
    <xf numFmtId="169" fontId="46" fillId="0" borderId="0" xfId="0" applyNumberFormat="1" applyFont="1" applyBorder="1" applyAlignment="1" applyProtection="1">
      <alignment horizontal="center" vertical="center" wrapText="1"/>
      <protection hidden="1"/>
    </xf>
    <xf numFmtId="2" fontId="46" fillId="0" borderId="0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2" fontId="8" fillId="0" borderId="0" xfId="0" applyNumberFormat="1" applyFont="1" applyAlignment="1" applyProtection="1">
      <alignment vertical="justify" wrapText="1"/>
      <protection hidden="1"/>
    </xf>
    <xf numFmtId="14" fontId="6" fillId="0" borderId="0" xfId="0" applyNumberFormat="1" applyFont="1" applyBorder="1" applyAlignment="1" applyProtection="1">
      <alignment vertical="center" wrapText="1"/>
      <protection hidden="1"/>
    </xf>
    <xf numFmtId="168" fontId="6" fillId="0" borderId="0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1" fontId="6" fillId="0" borderId="0" xfId="0" applyNumberFormat="1" applyFont="1" applyBorder="1" applyAlignment="1" applyProtection="1">
      <alignment horizontal="left" vertical="center" wrapText="1"/>
      <protection hidden="1"/>
    </xf>
    <xf numFmtId="171" fontId="6" fillId="0" borderId="0" xfId="0" applyNumberFormat="1" applyFont="1" applyBorder="1" applyAlignment="1" applyProtection="1">
      <alignment horizontal="left" vertical="center" wrapText="1"/>
      <protection hidden="1"/>
    </xf>
    <xf numFmtId="2" fontId="6" fillId="0" borderId="0" xfId="0" applyNumberFormat="1" applyFont="1" applyBorder="1" applyAlignment="1" applyProtection="1">
      <alignment vertical="center"/>
      <protection hidden="1"/>
    </xf>
    <xf numFmtId="0" fontId="52" fillId="0" borderId="37" xfId="0" applyFont="1" applyBorder="1" applyAlignment="1" applyProtection="1">
      <alignment horizontal="center" vertical="center" wrapText="1"/>
      <protection hidden="1"/>
    </xf>
    <xf numFmtId="0" fontId="52" fillId="0" borderId="16" xfId="0" applyFont="1" applyBorder="1" applyAlignment="1" applyProtection="1">
      <alignment horizontal="center" vertical="center" wrapText="1"/>
      <protection hidden="1"/>
    </xf>
    <xf numFmtId="171" fontId="6" fillId="0" borderId="35" xfId="0" applyNumberFormat="1" applyFont="1" applyBorder="1" applyAlignment="1" applyProtection="1">
      <alignment horizontal="center" vertical="center" wrapText="1"/>
      <protection hidden="1"/>
    </xf>
    <xf numFmtId="171" fontId="6" fillId="0" borderId="6" xfId="0" applyNumberFormat="1" applyFont="1" applyBorder="1" applyAlignment="1" applyProtection="1">
      <alignment horizontal="center" vertical="center" wrapText="1"/>
      <protection hidden="1"/>
    </xf>
    <xf numFmtId="2" fontId="6" fillId="0" borderId="16" xfId="0" applyNumberFormat="1" applyFont="1" applyBorder="1" applyAlignment="1" applyProtection="1">
      <alignment horizontal="left" vertical="center" wrapText="1"/>
      <protection hidden="1"/>
    </xf>
    <xf numFmtId="1" fontId="6" fillId="0" borderId="6" xfId="0" applyNumberFormat="1" applyFont="1" applyBorder="1" applyAlignment="1" applyProtection="1">
      <alignment horizontal="left" vertical="center" wrapText="1"/>
      <protection hidden="1"/>
    </xf>
    <xf numFmtId="168" fontId="6" fillId="0" borderId="6" xfId="0" applyNumberFormat="1" applyFont="1" applyBorder="1" applyAlignment="1" applyProtection="1">
      <alignment horizontal="left" vertical="center" wrapText="1"/>
      <protection hidden="1"/>
    </xf>
    <xf numFmtId="2" fontId="47" fillId="0" borderId="37" xfId="0" applyNumberFormat="1" applyFont="1" applyBorder="1" applyAlignment="1" applyProtection="1">
      <alignment horizontal="center" vertical="center" wrapText="1"/>
      <protection hidden="1"/>
    </xf>
    <xf numFmtId="1" fontId="47" fillId="0" borderId="16" xfId="0" applyNumberFormat="1" applyFont="1" applyBorder="1" applyAlignment="1" applyProtection="1">
      <alignment horizontal="center" vertical="center" wrapText="1"/>
      <protection hidden="1"/>
    </xf>
    <xf numFmtId="2" fontId="47" fillId="0" borderId="16" xfId="0" applyNumberFormat="1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1" fontId="6" fillId="0" borderId="20" xfId="0" applyNumberFormat="1" applyFont="1" applyBorder="1" applyAlignment="1" applyProtection="1">
      <alignment horizontal="center" vertical="center" wrapText="1"/>
      <protection hidden="1"/>
    </xf>
    <xf numFmtId="171" fontId="6" fillId="0" borderId="18" xfId="0" applyNumberFormat="1" applyFont="1" applyBorder="1" applyAlignment="1" applyProtection="1">
      <alignment horizontal="center" vertical="center" wrapText="1"/>
      <protection hidden="1"/>
    </xf>
    <xf numFmtId="171" fontId="6" fillId="0" borderId="20" xfId="0" applyNumberFormat="1" applyFont="1" applyBorder="1" applyAlignment="1" applyProtection="1">
      <alignment horizontal="center" vertical="center" wrapText="1"/>
      <protection hidden="1"/>
    </xf>
    <xf numFmtId="171" fontId="6" fillId="0" borderId="1" xfId="0" applyNumberFormat="1" applyFont="1" applyBorder="1" applyAlignment="1" applyProtection="1">
      <alignment horizontal="center" vertical="center" wrapText="1"/>
      <protection hidden="1"/>
    </xf>
    <xf numFmtId="1" fontId="6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6" fillId="2" borderId="20" xfId="0" applyNumberFormat="1" applyFont="1" applyFill="1" applyBorder="1" applyAlignment="1" applyProtection="1">
      <alignment horizontal="center" vertical="center"/>
      <protection hidden="1"/>
    </xf>
    <xf numFmtId="164" fontId="6" fillId="2" borderId="20" xfId="0" applyNumberFormat="1" applyFont="1" applyFill="1" applyBorder="1" applyAlignment="1" applyProtection="1">
      <alignment horizontal="center" vertical="center"/>
      <protection hidden="1"/>
    </xf>
    <xf numFmtId="16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6" fillId="2" borderId="1" xfId="0" applyNumberFormat="1" applyFont="1" applyFill="1" applyBorder="1" applyAlignment="1" applyProtection="1">
      <alignment horizontal="center" vertical="center"/>
      <protection hidden="1"/>
    </xf>
    <xf numFmtId="2" fontId="6" fillId="2" borderId="20" xfId="0" applyNumberFormat="1" applyFont="1" applyFill="1" applyBorder="1" applyAlignment="1" applyProtection="1">
      <alignment horizontal="center" vertical="center"/>
      <protection hidden="1"/>
    </xf>
    <xf numFmtId="2" fontId="4" fillId="0" borderId="37" xfId="0" applyNumberFormat="1" applyFont="1" applyBorder="1" applyAlignment="1" applyProtection="1">
      <alignment horizontal="center" vertical="center" wrapText="1"/>
      <protection hidden="1"/>
    </xf>
    <xf numFmtId="1" fontId="4" fillId="0" borderId="37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2" fontId="4" fillId="2" borderId="9" xfId="0" applyNumberFormat="1" applyFont="1" applyFill="1" applyBorder="1" applyAlignment="1" applyProtection="1">
      <alignment horizontal="center" vertical="center"/>
      <protection hidden="1"/>
    </xf>
    <xf numFmtId="2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20" xfId="0" applyNumberFormat="1" applyFont="1" applyBorder="1" applyAlignment="1" applyProtection="1">
      <alignment horizontal="center" vertical="center" wrapText="1"/>
      <protection hidden="1"/>
    </xf>
    <xf numFmtId="164" fontId="6" fillId="0" borderId="20" xfId="0" applyNumberFormat="1" applyFont="1" applyBorder="1" applyAlignment="1" applyProtection="1">
      <alignment horizontal="center" vertical="center" wrapText="1"/>
      <protection hidden="1"/>
    </xf>
    <xf numFmtId="169" fontId="6" fillId="0" borderId="1" xfId="0" applyNumberFormat="1" applyFont="1" applyBorder="1" applyAlignment="1" applyProtection="1">
      <alignment horizontal="center" vertical="center" wrapText="1"/>
      <protection hidden="1"/>
    </xf>
    <xf numFmtId="169" fontId="6" fillId="0" borderId="20" xfId="0" applyNumberFormat="1" applyFont="1" applyBorder="1" applyAlignment="1" applyProtection="1">
      <alignment horizontal="center" vertical="center" wrapText="1"/>
      <protection hidden="1"/>
    </xf>
    <xf numFmtId="2" fontId="6" fillId="0" borderId="20" xfId="0" applyNumberFormat="1" applyFont="1" applyBorder="1" applyAlignment="1" applyProtection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hidden="1"/>
    </xf>
    <xf numFmtId="2" fontId="6" fillId="15" borderId="0" xfId="3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 applyAlignment="1" applyProtection="1">
      <alignment vertical="center" wrapText="1"/>
      <protection hidden="1"/>
    </xf>
    <xf numFmtId="2" fontId="6" fillId="0" borderId="0" xfId="0" applyNumberFormat="1" applyFont="1" applyAlignment="1" applyProtection="1">
      <alignment vertical="justify" wrapText="1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35" fillId="13" borderId="22" xfId="0" applyFont="1" applyFill="1" applyBorder="1" applyAlignment="1" applyProtection="1">
      <alignment horizontal="center" vertical="center" wrapText="1"/>
      <protection hidden="1"/>
    </xf>
    <xf numFmtId="0" fontId="35" fillId="13" borderId="32" xfId="0" applyFont="1" applyFill="1" applyBorder="1" applyAlignment="1" applyProtection="1">
      <alignment horizontal="center" vertical="center" wrapText="1"/>
      <protection hidden="1"/>
    </xf>
    <xf numFmtId="0" fontId="35" fillId="13" borderId="23" xfId="0" applyFont="1" applyFill="1" applyBorder="1" applyAlignment="1" applyProtection="1">
      <alignment horizontal="center" vertical="center" wrapText="1"/>
      <protection hidden="1"/>
    </xf>
    <xf numFmtId="0" fontId="35" fillId="13" borderId="21" xfId="0" applyFont="1" applyFill="1" applyBorder="1" applyAlignment="1" applyProtection="1">
      <alignment horizontal="center" vertical="center" wrapText="1"/>
      <protection hidden="1"/>
    </xf>
    <xf numFmtId="0" fontId="35" fillId="13" borderId="43" xfId="0" applyFont="1" applyFill="1" applyBorder="1" applyAlignment="1" applyProtection="1">
      <alignment horizontal="center" vertical="center" wrapText="1"/>
      <protection hidden="1"/>
    </xf>
    <xf numFmtId="0" fontId="35" fillId="13" borderId="6" xfId="0" applyFont="1" applyFill="1" applyBorder="1" applyAlignment="1" applyProtection="1">
      <alignment horizontal="center" vertical="center" wrapText="1"/>
      <protection hidden="1"/>
    </xf>
    <xf numFmtId="49" fontId="31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8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7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9" xfId="2" applyNumberFormat="1" applyFont="1" applyFill="1" applyBorder="1" applyAlignment="1" applyProtection="1">
      <alignment horizontal="center" vertical="center" wrapText="1"/>
      <protection hidden="1"/>
    </xf>
    <xf numFmtId="0" fontId="34" fillId="0" borderId="34" xfId="0" applyFont="1" applyBorder="1" applyAlignment="1" applyProtection="1">
      <alignment horizontal="center" vertical="center" wrapText="1"/>
      <protection hidden="1"/>
    </xf>
    <xf numFmtId="0" fontId="34" fillId="0" borderId="35" xfId="0" applyFont="1" applyBorder="1" applyAlignment="1" applyProtection="1">
      <alignment horizontal="center" vertical="center" wrapText="1"/>
      <protection hidden="1"/>
    </xf>
    <xf numFmtId="0" fontId="35" fillId="13" borderId="4" xfId="0" applyFont="1" applyFill="1" applyBorder="1" applyAlignment="1" applyProtection="1">
      <alignment horizontal="center" vertical="center" wrapText="1"/>
      <protection hidden="1"/>
    </xf>
    <xf numFmtId="0" fontId="35" fillId="13" borderId="5" xfId="0" applyFont="1" applyFill="1" applyBorder="1" applyAlignment="1" applyProtection="1">
      <alignment horizontal="center" vertical="center" wrapText="1"/>
      <protection hidden="1"/>
    </xf>
    <xf numFmtId="0" fontId="35" fillId="13" borderId="42" xfId="0" applyFont="1" applyFill="1" applyBorder="1" applyAlignment="1" applyProtection="1">
      <alignment horizontal="center" vertical="center" wrapText="1"/>
      <protection hidden="1"/>
    </xf>
    <xf numFmtId="0" fontId="35" fillId="13" borderId="48" xfId="0" applyFont="1" applyFill="1" applyBorder="1" applyAlignment="1" applyProtection="1">
      <alignment horizontal="center" vertical="center" wrapText="1"/>
      <protection hidden="1"/>
    </xf>
    <xf numFmtId="0" fontId="35" fillId="13" borderId="33" xfId="0" applyFont="1" applyFill="1" applyBorder="1" applyAlignment="1" applyProtection="1">
      <alignment horizontal="center" vertical="center" wrapText="1"/>
      <protection hidden="1"/>
    </xf>
    <xf numFmtId="0" fontId="35" fillId="13" borderId="49" xfId="0" applyFont="1" applyFill="1" applyBorder="1" applyAlignment="1" applyProtection="1">
      <alignment horizontal="center" vertical="center" wrapText="1"/>
      <protection hidden="1"/>
    </xf>
    <xf numFmtId="49" fontId="31" fillId="6" borderId="4" xfId="0" applyNumberFormat="1" applyFont="1" applyFill="1" applyBorder="1" applyAlignment="1" applyProtection="1">
      <alignment horizontal="center" vertical="center"/>
      <protection hidden="1"/>
    </xf>
    <xf numFmtId="49" fontId="31" fillId="6" borderId="7" xfId="0" applyNumberFormat="1" applyFont="1" applyFill="1" applyBorder="1" applyAlignment="1" applyProtection="1">
      <alignment horizontal="center" vertical="center"/>
      <protection hidden="1"/>
    </xf>
    <xf numFmtId="49" fontId="31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54" xfId="2" applyNumberFormat="1" applyFont="1" applyFill="1" applyBorder="1" applyAlignment="1" applyProtection="1">
      <alignment horizontal="center" vertical="center"/>
      <protection hidden="1"/>
    </xf>
    <xf numFmtId="49" fontId="9" fillId="6" borderId="52" xfId="2" applyNumberFormat="1" applyFont="1" applyFill="1" applyBorder="1" applyAlignment="1" applyProtection="1">
      <alignment horizontal="center" vertical="center"/>
      <protection hidden="1"/>
    </xf>
    <xf numFmtId="49" fontId="18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42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Font="1" applyFill="1" applyBorder="1" applyAlignment="1" applyProtection="1">
      <alignment horizontal="center" vertical="center"/>
      <protection hidden="1"/>
    </xf>
    <xf numFmtId="0" fontId="31" fillId="6" borderId="48" xfId="0" applyFont="1" applyFill="1" applyBorder="1" applyAlignment="1" applyProtection="1">
      <alignment horizontal="center" vertical="center"/>
      <protection hidden="1"/>
    </xf>
    <xf numFmtId="0" fontId="31" fillId="6" borderId="5" xfId="0" applyFont="1" applyFill="1" applyBorder="1" applyAlignment="1" applyProtection="1">
      <alignment horizontal="center" vertical="center"/>
      <protection hidden="1"/>
    </xf>
    <xf numFmtId="0" fontId="31" fillId="6" borderId="33" xfId="0" applyFont="1" applyFill="1" applyBorder="1" applyAlignment="1" applyProtection="1">
      <alignment horizontal="center" vertical="center"/>
      <protection hidden="1"/>
    </xf>
    <xf numFmtId="0" fontId="31" fillId="6" borderId="5" xfId="0" applyFont="1" applyFill="1" applyBorder="1" applyAlignment="1" applyProtection="1">
      <alignment horizontal="center" vertical="center" wrapText="1"/>
      <protection hidden="1"/>
    </xf>
    <xf numFmtId="0" fontId="31" fillId="6" borderId="33" xfId="0" applyFont="1" applyFill="1" applyBorder="1" applyAlignment="1" applyProtection="1">
      <alignment horizontal="center" vertical="center" wrapText="1"/>
      <protection hidden="1"/>
    </xf>
    <xf numFmtId="0" fontId="31" fillId="6" borderId="60" xfId="0" applyFont="1" applyFill="1" applyBorder="1" applyAlignment="1" applyProtection="1">
      <alignment horizontal="center" vertical="center" wrapText="1"/>
      <protection hidden="1"/>
    </xf>
    <xf numFmtId="0" fontId="31" fillId="6" borderId="26" xfId="0" applyFont="1" applyFill="1" applyBorder="1" applyAlignment="1" applyProtection="1">
      <alignment horizontal="center" vertical="center" wrapText="1"/>
      <protection hidden="1"/>
    </xf>
    <xf numFmtId="0" fontId="34" fillId="6" borderId="42" xfId="0" applyFont="1" applyFill="1" applyBorder="1" applyAlignment="1" applyProtection="1">
      <alignment horizontal="center" vertical="center"/>
      <protection hidden="1"/>
    </xf>
    <xf numFmtId="0" fontId="34" fillId="6" borderId="49" xfId="0" applyFont="1" applyFill="1" applyBorder="1" applyAlignment="1" applyProtection="1">
      <alignment horizontal="center" vertical="center"/>
      <protection hidden="1"/>
    </xf>
    <xf numFmtId="0" fontId="33" fillId="0" borderId="34" xfId="0" applyFont="1" applyFill="1" applyBorder="1" applyAlignment="1" applyProtection="1">
      <alignment horizontal="center" vertical="center"/>
      <protection hidden="1"/>
    </xf>
    <xf numFmtId="0" fontId="33" fillId="0" borderId="59" xfId="0" applyFont="1" applyFill="1" applyBorder="1" applyAlignment="1" applyProtection="1">
      <alignment horizontal="center" vertical="center"/>
      <protection hidden="1"/>
    </xf>
    <xf numFmtId="0" fontId="33" fillId="0" borderId="35" xfId="0" applyFont="1" applyFill="1" applyBorder="1" applyAlignment="1" applyProtection="1">
      <alignment horizontal="center" vertical="center"/>
      <protection hidden="1"/>
    </xf>
    <xf numFmtId="0" fontId="34" fillId="0" borderId="22" xfId="0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Fill="1" applyBorder="1" applyAlignment="1" applyProtection="1">
      <alignment horizontal="center" vertical="center" wrapText="1"/>
      <protection hidden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0" fontId="34" fillId="0" borderId="59" xfId="0" applyFont="1" applyFill="1" applyBorder="1" applyAlignment="1" applyProtection="1">
      <alignment horizontal="center" vertical="center" wrapText="1"/>
      <protection hidden="1"/>
    </xf>
    <xf numFmtId="0" fontId="34" fillId="0" borderId="35" xfId="0" applyFont="1" applyFill="1" applyBorder="1" applyAlignment="1" applyProtection="1">
      <alignment horizontal="center" vertical="center" wrapText="1"/>
      <protection hidden="1"/>
    </xf>
    <xf numFmtId="0" fontId="31" fillId="6" borderId="54" xfId="0" applyFont="1" applyFill="1" applyBorder="1" applyAlignment="1" applyProtection="1">
      <alignment horizontal="center" vertical="center" wrapText="1"/>
      <protection hidden="1"/>
    </xf>
    <xf numFmtId="0" fontId="31" fillId="6" borderId="27" xfId="0" applyFont="1" applyFill="1" applyBorder="1" applyAlignment="1" applyProtection="1">
      <alignment horizontal="center" vertical="center" wrapText="1"/>
      <protection hidden="1"/>
    </xf>
    <xf numFmtId="0" fontId="18" fillId="6" borderId="20" xfId="0" applyFont="1" applyFill="1" applyBorder="1" applyAlignment="1" applyProtection="1">
      <alignment horizontal="center" vertical="center" wrapText="1"/>
      <protection hidden="1"/>
    </xf>
    <xf numFmtId="0" fontId="18" fillId="6" borderId="33" xfId="0" applyFont="1" applyFill="1" applyBorder="1" applyAlignment="1" applyProtection="1">
      <alignment horizontal="center" vertical="center" wrapText="1"/>
      <protection hidden="1"/>
    </xf>
    <xf numFmtId="0" fontId="18" fillId="6" borderId="47" xfId="0" applyFont="1" applyFill="1" applyBorder="1" applyAlignment="1" applyProtection="1">
      <alignment horizontal="center" vertical="center" wrapText="1"/>
      <protection hidden="1"/>
    </xf>
    <xf numFmtId="0" fontId="18" fillId="6" borderId="49" xfId="0" applyFont="1" applyFill="1" applyBorder="1" applyAlignment="1" applyProtection="1">
      <alignment horizontal="center" vertical="center" wrapText="1"/>
      <protection hidden="1"/>
    </xf>
    <xf numFmtId="0" fontId="34" fillId="6" borderId="59" xfId="0" applyFont="1" applyFill="1" applyBorder="1" applyAlignment="1" applyProtection="1">
      <alignment horizontal="center" vertical="center"/>
      <protection hidden="1"/>
    </xf>
    <xf numFmtId="0" fontId="18" fillId="6" borderId="24" xfId="0" applyFont="1" applyFill="1" applyBorder="1" applyAlignment="1" applyProtection="1">
      <alignment horizontal="center" vertical="center" wrapText="1"/>
      <protection hidden="1"/>
    </xf>
    <xf numFmtId="0" fontId="18" fillId="6" borderId="0" xfId="0" applyFont="1" applyFill="1" applyBorder="1" applyAlignment="1" applyProtection="1">
      <alignment horizontal="center" vertical="center" wrapText="1"/>
      <protection hidden="1"/>
    </xf>
    <xf numFmtId="0" fontId="18" fillId="6" borderId="41" xfId="0" applyFont="1" applyFill="1" applyBorder="1" applyAlignment="1" applyProtection="1">
      <alignment horizontal="center" vertical="center" wrapText="1"/>
      <protection hidden="1"/>
    </xf>
    <xf numFmtId="0" fontId="18" fillId="6" borderId="18" xfId="0" applyFont="1" applyFill="1" applyBorder="1" applyAlignment="1" applyProtection="1">
      <alignment horizontal="center" vertical="center" wrapText="1"/>
      <protection hidden="1"/>
    </xf>
    <xf numFmtId="0" fontId="18" fillId="6" borderId="29" xfId="0" applyFont="1" applyFill="1" applyBorder="1" applyAlignment="1" applyProtection="1">
      <alignment horizontal="center" vertical="center" wrapText="1"/>
      <protection hidden="1"/>
    </xf>
    <xf numFmtId="0" fontId="34" fillId="0" borderId="34" xfId="0" applyFont="1" applyFill="1" applyBorder="1" applyAlignment="1" applyProtection="1">
      <alignment horizontal="center" vertical="center" wrapText="1"/>
      <protection hidden="1"/>
    </xf>
    <xf numFmtId="0" fontId="35" fillId="13" borderId="22" xfId="0" applyFont="1" applyFill="1" applyBorder="1" applyAlignment="1" applyProtection="1">
      <alignment horizontal="center" vertical="center"/>
      <protection hidden="1"/>
    </xf>
    <xf numFmtId="0" fontId="35" fillId="13" borderId="32" xfId="0" applyFont="1" applyFill="1" applyBorder="1" applyAlignment="1" applyProtection="1">
      <alignment horizontal="center" vertical="center"/>
      <protection hidden="1"/>
    </xf>
    <xf numFmtId="0" fontId="35" fillId="13" borderId="23" xfId="0" applyFont="1" applyFill="1" applyBorder="1" applyAlignment="1" applyProtection="1">
      <alignment horizontal="center" vertical="center"/>
      <protection hidden="1"/>
    </xf>
    <xf numFmtId="0" fontId="35" fillId="13" borderId="21" xfId="0" applyFont="1" applyFill="1" applyBorder="1" applyAlignment="1" applyProtection="1">
      <alignment horizontal="center" vertical="center"/>
      <protection hidden="1"/>
    </xf>
    <xf numFmtId="0" fontId="35" fillId="13" borderId="43" xfId="0" applyFont="1" applyFill="1" applyBorder="1" applyAlignment="1" applyProtection="1">
      <alignment horizontal="center" vertical="center"/>
      <protection hidden="1"/>
    </xf>
    <xf numFmtId="0" fontId="35" fillId="13" borderId="6" xfId="0" applyFont="1" applyFill="1" applyBorder="1" applyAlignment="1" applyProtection="1">
      <alignment horizontal="center" vertical="center"/>
      <protection hidden="1"/>
    </xf>
    <xf numFmtId="0" fontId="35" fillId="13" borderId="14" xfId="0" applyFont="1" applyFill="1" applyBorder="1" applyAlignment="1" applyProtection="1">
      <alignment horizontal="center" vertical="center"/>
      <protection hidden="1"/>
    </xf>
    <xf numFmtId="0" fontId="35" fillId="13" borderId="15" xfId="0" applyFont="1" applyFill="1" applyBorder="1" applyAlignment="1" applyProtection="1">
      <alignment horizontal="center" vertical="center"/>
      <protection hidden="1"/>
    </xf>
    <xf numFmtId="0" fontId="35" fillId="13" borderId="16" xfId="0" applyFont="1" applyFill="1" applyBorder="1" applyAlignment="1" applyProtection="1">
      <alignment horizontal="center" vertical="center"/>
      <protection hidden="1"/>
    </xf>
    <xf numFmtId="0" fontId="18" fillId="6" borderId="46" xfId="0" applyFont="1" applyFill="1" applyBorder="1" applyAlignment="1" applyProtection="1">
      <alignment horizontal="center" vertical="center" wrapText="1"/>
      <protection hidden="1"/>
    </xf>
    <xf numFmtId="0" fontId="18" fillId="6" borderId="48" xfId="0" applyFont="1" applyFill="1" applyBorder="1" applyAlignment="1" applyProtection="1">
      <alignment horizontal="center" vertical="center" wrapText="1"/>
      <protection hidden="1"/>
    </xf>
    <xf numFmtId="168" fontId="33" fillId="20" borderId="54" xfId="0" applyNumberFormat="1" applyFont="1" applyFill="1" applyBorder="1" applyAlignment="1" applyProtection="1">
      <alignment horizontal="center" vertical="center"/>
      <protection hidden="1"/>
    </xf>
    <xf numFmtId="168" fontId="33" fillId="20" borderId="27" xfId="0" applyNumberFormat="1" applyFont="1" applyFill="1" applyBorder="1" applyAlignment="1" applyProtection="1">
      <alignment horizontal="center" vertical="center"/>
      <protection hidden="1"/>
    </xf>
    <xf numFmtId="168" fontId="33" fillId="20" borderId="20" xfId="0" applyNumberFormat="1" applyFont="1" applyFill="1" applyBorder="1" applyAlignment="1" applyProtection="1">
      <alignment horizontal="center" vertical="center"/>
      <protection hidden="1"/>
    </xf>
    <xf numFmtId="14" fontId="33" fillId="20" borderId="62" xfId="0" applyNumberFormat="1" applyFont="1" applyFill="1" applyBorder="1" applyAlignment="1" applyProtection="1">
      <alignment horizontal="center" vertical="center"/>
      <protection hidden="1"/>
    </xf>
    <xf numFmtId="14" fontId="33" fillId="20" borderId="55" xfId="0" applyNumberFormat="1" applyFont="1" applyFill="1" applyBorder="1" applyAlignment="1" applyProtection="1">
      <alignment horizontal="center" vertical="center"/>
      <protection hidden="1"/>
    </xf>
    <xf numFmtId="14" fontId="33" fillId="20" borderId="47" xfId="0" applyNumberFormat="1" applyFont="1" applyFill="1" applyBorder="1" applyAlignment="1" applyProtection="1">
      <alignment horizontal="center" vertical="center"/>
      <protection hidden="1"/>
    </xf>
    <xf numFmtId="168" fontId="34" fillId="0" borderId="20" xfId="0" applyNumberFormat="1" applyFont="1" applyBorder="1" applyAlignment="1" applyProtection="1">
      <alignment horizontal="center" vertical="center" wrapText="1"/>
      <protection hidden="1"/>
    </xf>
    <xf numFmtId="168" fontId="34" fillId="0" borderId="1" xfId="0" applyNumberFormat="1" applyFont="1" applyBorder="1" applyAlignment="1" applyProtection="1">
      <alignment horizontal="center" vertical="center" wrapText="1"/>
      <protection hidden="1"/>
    </xf>
    <xf numFmtId="168" fontId="34" fillId="0" borderId="8" xfId="0" applyNumberFormat="1" applyFont="1" applyBorder="1" applyAlignment="1" applyProtection="1">
      <alignment horizontal="center" vertical="center" wrapText="1"/>
      <protection hidden="1"/>
    </xf>
    <xf numFmtId="0" fontId="34" fillId="0" borderId="47" xfId="0" applyFont="1" applyBorder="1" applyAlignment="1" applyProtection="1">
      <alignment horizontal="center" vertical="center" wrapText="1"/>
      <protection hidden="1"/>
    </xf>
    <xf numFmtId="0" fontId="34" fillId="0" borderId="45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3" fontId="33" fillId="19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35" fillId="20" borderId="22" xfId="0" applyFont="1" applyFill="1" applyBorder="1" applyAlignment="1" applyProtection="1">
      <alignment horizontal="center" vertical="center"/>
      <protection hidden="1"/>
    </xf>
    <xf numFmtId="0" fontId="35" fillId="20" borderId="23" xfId="0" applyFont="1" applyFill="1" applyBorder="1" applyAlignment="1" applyProtection="1">
      <alignment horizontal="center" vertical="center"/>
      <protection hidden="1"/>
    </xf>
    <xf numFmtId="0" fontId="35" fillId="20" borderId="24" xfId="0" applyFont="1" applyFill="1" applyBorder="1" applyAlignment="1" applyProtection="1">
      <alignment horizontal="center" vertical="center"/>
      <protection hidden="1"/>
    </xf>
    <xf numFmtId="0" fontId="35" fillId="20" borderId="41" xfId="0" applyFont="1" applyFill="1" applyBorder="1" applyAlignment="1" applyProtection="1">
      <alignment horizontal="center" vertical="center"/>
      <protection hidden="1"/>
    </xf>
    <xf numFmtId="0" fontId="35" fillId="20" borderId="21" xfId="0" applyFont="1" applyFill="1" applyBorder="1" applyAlignment="1" applyProtection="1">
      <alignment horizontal="center" vertical="center"/>
      <protection hidden="1"/>
    </xf>
    <xf numFmtId="0" fontId="35" fillId="20" borderId="6" xfId="0" applyFont="1" applyFill="1" applyBorder="1" applyAlignment="1" applyProtection="1">
      <alignment horizontal="center" vertical="center"/>
      <protection hidden="1"/>
    </xf>
    <xf numFmtId="0" fontId="33" fillId="20" borderId="33" xfId="0" applyFont="1" applyFill="1" applyBorder="1" applyAlignment="1" applyProtection="1">
      <alignment horizontal="center" vertical="center"/>
      <protection hidden="1"/>
    </xf>
    <xf numFmtId="0" fontId="33" fillId="20" borderId="27" xfId="0" applyFont="1" applyFill="1" applyBorder="1" applyAlignment="1" applyProtection="1">
      <alignment horizontal="center" vertical="center"/>
      <protection hidden="1"/>
    </xf>
    <xf numFmtId="0" fontId="33" fillId="20" borderId="20" xfId="0" applyFont="1" applyFill="1" applyBorder="1" applyAlignment="1" applyProtection="1">
      <alignment horizontal="center" vertical="center"/>
      <protection hidden="1"/>
    </xf>
    <xf numFmtId="168" fontId="33" fillId="20" borderId="33" xfId="0" applyNumberFormat="1" applyFont="1" applyFill="1" applyBorder="1" applyAlignment="1" applyProtection="1">
      <alignment horizontal="center" vertical="center"/>
      <protection hidden="1"/>
    </xf>
    <xf numFmtId="14" fontId="33" fillId="20" borderId="49" xfId="0" applyNumberFormat="1" applyFont="1" applyFill="1" applyBorder="1" applyAlignment="1" applyProtection="1">
      <alignment horizontal="center" vertical="center"/>
      <protection hidden="1"/>
    </xf>
    <xf numFmtId="0" fontId="31" fillId="20" borderId="22" xfId="0" applyFont="1" applyFill="1" applyBorder="1" applyAlignment="1" applyProtection="1">
      <alignment horizontal="center" vertical="center"/>
      <protection hidden="1"/>
    </xf>
    <xf numFmtId="0" fontId="34" fillId="20" borderId="23" xfId="0" applyFont="1" applyFill="1" applyBorder="1" applyAlignment="1" applyProtection="1">
      <alignment horizontal="center" vertical="center"/>
      <protection hidden="1"/>
    </xf>
    <xf numFmtId="0" fontId="34" fillId="20" borderId="24" xfId="0" applyFont="1" applyFill="1" applyBorder="1" applyAlignment="1" applyProtection="1">
      <alignment horizontal="center" vertical="center"/>
      <protection hidden="1"/>
    </xf>
    <xf numFmtId="0" fontId="34" fillId="20" borderId="41" xfId="0" applyFont="1" applyFill="1" applyBorder="1" applyAlignment="1" applyProtection="1">
      <alignment horizontal="center" vertical="center"/>
      <protection hidden="1"/>
    </xf>
    <xf numFmtId="0" fontId="34" fillId="20" borderId="21" xfId="0" applyFont="1" applyFill="1" applyBorder="1" applyAlignment="1" applyProtection="1">
      <alignment horizontal="center" vertical="center"/>
      <protection hidden="1"/>
    </xf>
    <xf numFmtId="0" fontId="34" fillId="20" borderId="6" xfId="0" applyFont="1" applyFill="1" applyBorder="1" applyAlignment="1" applyProtection="1">
      <alignment horizontal="center" vertical="center"/>
      <protection hidden="1"/>
    </xf>
    <xf numFmtId="0" fontId="33" fillId="20" borderId="61" xfId="0" applyFont="1" applyFill="1" applyBorder="1" applyAlignment="1" applyProtection="1">
      <alignment horizontal="center" vertical="center" wrapText="1"/>
      <protection hidden="1"/>
    </xf>
    <xf numFmtId="0" fontId="33" fillId="20" borderId="56" xfId="0" applyFont="1" applyFill="1" applyBorder="1" applyAlignment="1" applyProtection="1">
      <alignment horizontal="center" vertical="center" wrapText="1"/>
      <protection hidden="1"/>
    </xf>
    <xf numFmtId="0" fontId="33" fillId="20" borderId="51" xfId="0" applyFont="1" applyFill="1" applyBorder="1" applyAlignment="1" applyProtection="1">
      <alignment horizontal="center" vertical="center" wrapText="1"/>
      <protection hidden="1"/>
    </xf>
    <xf numFmtId="0" fontId="34" fillId="20" borderId="54" xfId="0" applyFont="1" applyFill="1" applyBorder="1" applyAlignment="1" applyProtection="1">
      <alignment horizontal="center" vertical="center"/>
      <protection hidden="1"/>
    </xf>
    <xf numFmtId="0" fontId="34" fillId="20" borderId="27" xfId="0" applyFont="1" applyFill="1" applyBorder="1" applyAlignment="1" applyProtection="1">
      <alignment horizontal="center" vertical="center"/>
      <protection hidden="1"/>
    </xf>
    <xf numFmtId="0" fontId="34" fillId="20" borderId="52" xfId="0" applyFont="1" applyFill="1" applyBorder="1" applyAlignment="1" applyProtection="1">
      <alignment horizontal="center" vertical="center"/>
      <protection hidden="1"/>
    </xf>
    <xf numFmtId="3" fontId="33" fillId="20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33" fillId="20" borderId="54" xfId="0" applyFont="1" applyFill="1" applyBorder="1" applyAlignment="1" applyProtection="1">
      <alignment horizontal="center" vertical="center"/>
      <protection hidden="1"/>
    </xf>
    <xf numFmtId="0" fontId="33" fillId="20" borderId="52" xfId="0" applyFont="1" applyFill="1" applyBorder="1" applyAlignment="1" applyProtection="1">
      <alignment horizontal="center" vertical="center"/>
      <protection hidden="1"/>
    </xf>
    <xf numFmtId="168" fontId="34" fillId="0" borderId="5" xfId="0" applyNumberFormat="1" applyFont="1" applyBorder="1" applyAlignment="1" applyProtection="1">
      <alignment horizontal="center" vertical="center" wrapText="1"/>
      <protection hidden="1"/>
    </xf>
    <xf numFmtId="0" fontId="34" fillId="0" borderId="42" xfId="0" applyFont="1" applyBorder="1" applyAlignment="1" applyProtection="1">
      <alignment horizontal="center" vertical="center" wrapText="1"/>
      <protection hidden="1"/>
    </xf>
    <xf numFmtId="178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3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168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14" fontId="33" fillId="20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168" fontId="33" fillId="20" borderId="52" xfId="0" applyNumberFormat="1" applyFont="1" applyFill="1" applyBorder="1" applyAlignment="1" applyProtection="1">
      <alignment horizontal="center" vertical="center"/>
      <protection hidden="1"/>
    </xf>
    <xf numFmtId="0" fontId="33" fillId="20" borderId="49" xfId="0" applyFont="1" applyFill="1" applyBorder="1" applyAlignment="1" applyProtection="1">
      <alignment horizontal="center" vertical="center"/>
      <protection hidden="1"/>
    </xf>
    <xf numFmtId="0" fontId="33" fillId="20" borderId="55" xfId="0" applyFont="1" applyFill="1" applyBorder="1" applyAlignment="1" applyProtection="1">
      <alignment horizontal="center" vertical="center"/>
      <protection hidden="1"/>
    </xf>
    <xf numFmtId="0" fontId="33" fillId="20" borderId="53" xfId="0" applyFont="1" applyFill="1" applyBorder="1" applyAlignment="1" applyProtection="1">
      <alignment horizontal="center" vertical="center"/>
      <protection hidden="1"/>
    </xf>
    <xf numFmtId="0" fontId="31" fillId="20" borderId="22" xfId="0" applyFont="1" applyFill="1" applyBorder="1" applyAlignment="1" applyProtection="1">
      <alignment horizontal="center" vertical="center" wrapText="1"/>
      <protection hidden="1"/>
    </xf>
    <xf numFmtId="0" fontId="31" fillId="20" borderId="23" xfId="0" applyFont="1" applyFill="1" applyBorder="1" applyAlignment="1" applyProtection="1">
      <alignment horizontal="center" vertical="center" wrapText="1"/>
      <protection hidden="1"/>
    </xf>
    <xf numFmtId="0" fontId="31" fillId="20" borderId="24" xfId="0" applyFont="1" applyFill="1" applyBorder="1" applyAlignment="1" applyProtection="1">
      <alignment horizontal="center" vertical="center" wrapText="1"/>
      <protection hidden="1"/>
    </xf>
    <xf numFmtId="0" fontId="31" fillId="20" borderId="41" xfId="0" applyFont="1" applyFill="1" applyBorder="1" applyAlignment="1" applyProtection="1">
      <alignment horizontal="center" vertical="center" wrapText="1"/>
      <protection hidden="1"/>
    </xf>
    <xf numFmtId="0" fontId="31" fillId="20" borderId="21" xfId="0" applyFont="1" applyFill="1" applyBorder="1" applyAlignment="1" applyProtection="1">
      <alignment horizontal="center" vertical="center" wrapText="1"/>
      <protection hidden="1"/>
    </xf>
    <xf numFmtId="0" fontId="31" fillId="20" borderId="6" xfId="0" applyFont="1" applyFill="1" applyBorder="1" applyAlignment="1" applyProtection="1">
      <alignment horizontal="center" vertical="center" wrapText="1"/>
      <protection hidden="1"/>
    </xf>
    <xf numFmtId="0" fontId="34" fillId="20" borderId="54" xfId="0" applyFont="1" applyFill="1" applyBorder="1" applyAlignment="1" applyProtection="1">
      <alignment horizontal="center" vertical="center" wrapText="1"/>
      <protection hidden="1"/>
    </xf>
    <xf numFmtId="0" fontId="33" fillId="20" borderId="54" xfId="0" applyFont="1" applyFill="1" applyBorder="1" applyAlignment="1" applyProtection="1">
      <alignment horizontal="center" vertical="center" wrapText="1"/>
      <protection hidden="1"/>
    </xf>
    <xf numFmtId="168" fontId="33" fillId="20" borderId="54" xfId="0" applyNumberFormat="1" applyFont="1" applyFill="1" applyBorder="1" applyAlignment="1" applyProtection="1">
      <alignment horizontal="center" vertical="center" wrapText="1"/>
      <protection hidden="1"/>
    </xf>
    <xf numFmtId="0" fontId="33" fillId="20" borderId="62" xfId="0" applyFont="1" applyFill="1" applyBorder="1" applyAlignment="1" applyProtection="1">
      <alignment horizontal="center" vertical="center" wrapText="1"/>
      <protection hidden="1"/>
    </xf>
    <xf numFmtId="0" fontId="33" fillId="20" borderId="5" xfId="0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168" fontId="33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20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5" xfId="0" applyFill="1" applyBorder="1" applyAlignment="1" applyProtection="1">
      <alignment horizontal="center" vertical="center" wrapText="1"/>
      <protection hidden="1"/>
    </xf>
    <xf numFmtId="4" fontId="33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31" fillId="20" borderId="32" xfId="0" applyFont="1" applyFill="1" applyBorder="1" applyAlignment="1" applyProtection="1">
      <alignment horizontal="center" vertical="center"/>
      <protection hidden="1"/>
    </xf>
    <xf numFmtId="0" fontId="31" fillId="20" borderId="24" xfId="0" applyFont="1" applyFill="1" applyBorder="1" applyAlignment="1" applyProtection="1">
      <alignment horizontal="center" vertical="center"/>
      <protection hidden="1"/>
    </xf>
    <xf numFmtId="0" fontId="31" fillId="20" borderId="0" xfId="0" applyFont="1" applyFill="1" applyBorder="1" applyAlignment="1" applyProtection="1">
      <alignment horizontal="center" vertical="center"/>
      <protection hidden="1"/>
    </xf>
    <xf numFmtId="0" fontId="31" fillId="20" borderId="21" xfId="0" applyFont="1" applyFill="1" applyBorder="1" applyAlignment="1" applyProtection="1">
      <alignment horizontal="center" vertical="center"/>
      <protection hidden="1"/>
    </xf>
    <xf numFmtId="0" fontId="31" fillId="20" borderId="43" xfId="0" applyFont="1" applyFill="1" applyBorder="1" applyAlignment="1" applyProtection="1">
      <alignment horizontal="center" vertical="center"/>
      <protection hidden="1"/>
    </xf>
    <xf numFmtId="0" fontId="34" fillId="20" borderId="5" xfId="0" applyFont="1" applyFill="1" applyBorder="1" applyAlignment="1" applyProtection="1">
      <alignment horizontal="center" vertical="center"/>
      <protection hidden="1"/>
    </xf>
    <xf numFmtId="0" fontId="34" fillId="20" borderId="1" xfId="0" applyFont="1" applyFill="1" applyBorder="1" applyAlignment="1" applyProtection="1">
      <alignment horizontal="center" vertical="center"/>
      <protection hidden="1"/>
    </xf>
    <xf numFmtId="0" fontId="34" fillId="20" borderId="8" xfId="0" applyFont="1" applyFill="1" applyBorder="1" applyAlignment="1" applyProtection="1">
      <alignment horizontal="center" vertical="center"/>
      <protection hidden="1"/>
    </xf>
    <xf numFmtId="0" fontId="35" fillId="20" borderId="32" xfId="0" applyFont="1" applyFill="1" applyBorder="1" applyAlignment="1" applyProtection="1">
      <alignment horizontal="center" vertical="center"/>
      <protection hidden="1"/>
    </xf>
    <xf numFmtId="0" fontId="35" fillId="20" borderId="0" xfId="0" applyFont="1" applyFill="1" applyBorder="1" applyAlignment="1" applyProtection="1">
      <alignment horizontal="center" vertical="center"/>
      <protection hidden="1"/>
    </xf>
    <xf numFmtId="0" fontId="35" fillId="20" borderId="43" xfId="0" applyFont="1" applyFill="1" applyBorder="1" applyAlignment="1" applyProtection="1">
      <alignment horizontal="center" vertical="center"/>
      <protection hidden="1"/>
    </xf>
    <xf numFmtId="0" fontId="33" fillId="20" borderId="1" xfId="0" applyFont="1" applyFill="1" applyBorder="1" applyAlignment="1" applyProtection="1">
      <alignment horizontal="center" vertical="center" wrapText="1"/>
      <protection hidden="1"/>
    </xf>
    <xf numFmtId="168" fontId="33" fillId="20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68" fontId="33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5" fillId="20" borderId="44" xfId="0" applyFont="1" applyFill="1" applyBorder="1" applyAlignment="1" applyProtection="1">
      <alignment horizontal="center" vertical="center"/>
      <protection hidden="1"/>
    </xf>
    <xf numFmtId="0" fontId="35" fillId="20" borderId="1" xfId="0" applyFont="1" applyFill="1" applyBorder="1" applyAlignment="1" applyProtection="1">
      <alignment horizontal="center" vertical="center"/>
      <protection hidden="1"/>
    </xf>
    <xf numFmtId="0" fontId="31" fillId="20" borderId="4" xfId="0" applyFont="1" applyFill="1" applyBorder="1" applyAlignment="1" applyProtection="1">
      <alignment horizontal="center" vertical="center"/>
      <protection hidden="1"/>
    </xf>
    <xf numFmtId="0" fontId="34" fillId="20" borderId="44" xfId="0" applyFont="1" applyFill="1" applyBorder="1" applyAlignment="1" applyProtection="1">
      <alignment horizontal="center" vertical="center"/>
      <protection hidden="1"/>
    </xf>
    <xf numFmtId="171" fontId="33" fillId="20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20" borderId="1" xfId="0" applyNumberFormat="1" applyFill="1" applyBorder="1" applyAlignment="1" applyProtection="1">
      <alignment horizontal="center" vertical="center" wrapText="1"/>
      <protection hidden="1"/>
    </xf>
    <xf numFmtId="0" fontId="35" fillId="20" borderId="7" xfId="0" applyFont="1" applyFill="1" applyBorder="1" applyAlignment="1" applyProtection="1">
      <alignment horizontal="center" vertical="center"/>
      <protection hidden="1"/>
    </xf>
    <xf numFmtId="0" fontId="35" fillId="20" borderId="8" xfId="0" applyFont="1" applyFill="1" applyBorder="1" applyAlignment="1" applyProtection="1">
      <alignment horizontal="center" vertical="center"/>
      <protection hidden="1"/>
    </xf>
    <xf numFmtId="1" fontId="33" fillId="2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1" xfId="0" applyNumberFormat="1" applyFill="1" applyBorder="1" applyAlignment="1" applyProtection="1">
      <alignment horizontal="center" vertical="center" wrapText="1"/>
      <protection hidden="1"/>
    </xf>
    <xf numFmtId="1" fontId="0" fillId="20" borderId="8" xfId="0" applyNumberFormat="1" applyFill="1" applyBorder="1" applyAlignment="1" applyProtection="1">
      <alignment horizontal="center" vertical="center" wrapText="1"/>
      <protection hidden="1"/>
    </xf>
    <xf numFmtId="49" fontId="33" fillId="20" borderId="54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57" xfId="0" applyFont="1" applyFill="1" applyBorder="1" applyAlignment="1" applyProtection="1">
      <alignment horizontal="center" vertical="center"/>
      <protection hidden="1"/>
    </xf>
    <xf numFmtId="0" fontId="18" fillId="6" borderId="32" xfId="0" applyFont="1" applyFill="1" applyBorder="1" applyAlignment="1" applyProtection="1">
      <alignment horizontal="center" vertical="center"/>
      <protection hidden="1"/>
    </xf>
    <xf numFmtId="0" fontId="18" fillId="6" borderId="23" xfId="0" applyFont="1" applyFill="1" applyBorder="1" applyAlignment="1" applyProtection="1">
      <alignment horizontal="center" vertical="center"/>
      <protection hidden="1"/>
    </xf>
    <xf numFmtId="0" fontId="37" fillId="13" borderId="22" xfId="0" applyFont="1" applyFill="1" applyBorder="1" applyAlignment="1" applyProtection="1">
      <alignment horizontal="center" vertical="center"/>
      <protection hidden="1"/>
    </xf>
    <xf numFmtId="0" fontId="37" fillId="13" borderId="32" xfId="0" applyFont="1" applyFill="1" applyBorder="1" applyAlignment="1" applyProtection="1">
      <alignment horizontal="center" vertical="center"/>
      <protection hidden="1"/>
    </xf>
    <xf numFmtId="0" fontId="37" fillId="13" borderId="23" xfId="0" applyFont="1" applyFill="1" applyBorder="1" applyAlignment="1" applyProtection="1">
      <alignment horizontal="center" vertical="center"/>
      <protection hidden="1"/>
    </xf>
    <xf numFmtId="0" fontId="37" fillId="13" borderId="21" xfId="0" applyFont="1" applyFill="1" applyBorder="1" applyAlignment="1" applyProtection="1">
      <alignment horizontal="center" vertical="center"/>
      <protection hidden="1"/>
    </xf>
    <xf numFmtId="0" fontId="37" fillId="13" borderId="43" xfId="0" applyFont="1" applyFill="1" applyBorder="1" applyAlignment="1" applyProtection="1">
      <alignment horizontal="center" vertical="center"/>
      <protection hidden="1"/>
    </xf>
    <xf numFmtId="0" fontId="37" fillId="13" borderId="6" xfId="0" applyFont="1" applyFill="1" applyBorder="1" applyAlignment="1" applyProtection="1">
      <alignment horizontal="center" vertical="center"/>
      <protection hidden="1"/>
    </xf>
    <xf numFmtId="0" fontId="37" fillId="13" borderId="14" xfId="0" applyFont="1" applyFill="1" applyBorder="1" applyAlignment="1" applyProtection="1">
      <alignment horizontal="center" vertical="center"/>
      <protection hidden="1"/>
    </xf>
    <xf numFmtId="0" fontId="37" fillId="13" borderId="15" xfId="0" applyFont="1" applyFill="1" applyBorder="1" applyAlignment="1" applyProtection="1">
      <alignment horizontal="center" vertical="center"/>
      <protection hidden="1"/>
    </xf>
    <xf numFmtId="0" fontId="31" fillId="6" borderId="14" xfId="0" applyFont="1" applyFill="1" applyBorder="1" applyAlignment="1" applyProtection="1">
      <alignment horizontal="center" vertical="center"/>
      <protection hidden="1"/>
    </xf>
    <xf numFmtId="0" fontId="31" fillId="6" borderId="15" xfId="0" applyFont="1" applyFill="1" applyBorder="1" applyAlignment="1" applyProtection="1">
      <alignment horizontal="center" vertical="center"/>
      <protection hidden="1"/>
    </xf>
    <xf numFmtId="0" fontId="31" fillId="6" borderId="16" xfId="0" applyFont="1" applyFill="1" applyBorder="1" applyAlignment="1" applyProtection="1">
      <alignment horizontal="center" vertical="center"/>
      <protection hidden="1"/>
    </xf>
    <xf numFmtId="0" fontId="6" fillId="6" borderId="42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3" fontId="33" fillId="22" borderId="54" xfId="0" applyNumberFormat="1" applyFont="1" applyFill="1" applyBorder="1" applyAlignment="1" applyProtection="1">
      <alignment horizontal="center" vertical="center" wrapText="1"/>
      <protection hidden="1"/>
    </xf>
    <xf numFmtId="0" fontId="0" fillId="22" borderId="27" xfId="0" applyFill="1" applyBorder="1" applyAlignment="1" applyProtection="1">
      <alignment horizontal="center" vertical="center" wrapText="1"/>
      <protection hidden="1"/>
    </xf>
    <xf numFmtId="0" fontId="0" fillId="22" borderId="52" xfId="0" applyFill="1" applyBorder="1" applyAlignment="1" applyProtection="1">
      <alignment horizontal="center" vertical="center" wrapText="1"/>
      <protection hidden="1"/>
    </xf>
    <xf numFmtId="4" fontId="33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 wrapText="1"/>
      <protection hidden="1"/>
    </xf>
    <xf numFmtId="0" fontId="0" fillId="2" borderId="52" xfId="0" applyFill="1" applyBorder="1" applyAlignment="1" applyProtection="1">
      <alignment horizontal="center" vertical="center" wrapText="1"/>
      <protection hidden="1"/>
    </xf>
    <xf numFmtId="3" fontId="33" fillId="2" borderId="33" xfId="0" applyNumberFormat="1" applyFont="1" applyFill="1" applyBorder="1" applyAlignment="1" applyProtection="1">
      <alignment horizontal="center" vertical="center" wrapText="1"/>
      <protection hidden="1"/>
    </xf>
    <xf numFmtId="168" fontId="33" fillId="2" borderId="33" xfId="0" applyNumberFormat="1" applyFont="1" applyFill="1" applyBorder="1" applyAlignment="1" applyProtection="1">
      <alignment horizontal="center" vertical="center" wrapText="1"/>
      <protection hidden="1"/>
    </xf>
    <xf numFmtId="14" fontId="33" fillId="2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55" xfId="0" applyFill="1" applyBorder="1" applyAlignment="1" applyProtection="1">
      <alignment horizontal="center" vertical="center" wrapText="1"/>
      <protection hidden="1"/>
    </xf>
    <xf numFmtId="0" fontId="0" fillId="2" borderId="53" xfId="0" applyFill="1" applyBorder="1" applyAlignment="1" applyProtection="1">
      <alignment horizontal="center" vertical="center" wrapText="1"/>
      <protection hidden="1"/>
    </xf>
    <xf numFmtId="49" fontId="33" fillId="22" borderId="54" xfId="0" applyNumberFormat="1" applyFont="1" applyFill="1" applyBorder="1" applyAlignment="1" applyProtection="1">
      <alignment horizontal="center" vertical="center" wrapText="1"/>
      <protection hidden="1"/>
    </xf>
    <xf numFmtId="168" fontId="33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5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33" fillId="22" borderId="62" xfId="0" applyFont="1" applyFill="1" applyBorder="1" applyAlignment="1" applyProtection="1">
      <alignment horizontal="center" vertical="center" wrapText="1"/>
      <protection hidden="1"/>
    </xf>
    <xf numFmtId="0" fontId="0" fillId="22" borderId="55" xfId="0" applyFill="1" applyBorder="1" applyAlignment="1" applyProtection="1">
      <alignment horizontal="center" vertical="center" wrapText="1"/>
      <protection hidden="1"/>
    </xf>
    <xf numFmtId="0" fontId="0" fillId="22" borderId="47" xfId="0" applyFill="1" applyBorder="1" applyAlignment="1" applyProtection="1">
      <alignment horizontal="center" vertical="center" wrapText="1"/>
      <protection hidden="1"/>
    </xf>
    <xf numFmtId="0" fontId="33" fillId="22" borderId="1" xfId="0" applyFont="1" applyFill="1" applyBorder="1" applyAlignment="1" applyProtection="1">
      <alignment horizontal="center" vertical="center" wrapText="1"/>
      <protection hidden="1"/>
    </xf>
    <xf numFmtId="0" fontId="0" fillId="22" borderId="1" xfId="0" applyFill="1" applyBorder="1" applyAlignment="1" applyProtection="1">
      <alignment horizontal="center" vertical="center" wrapText="1"/>
      <protection hidden="1"/>
    </xf>
    <xf numFmtId="168" fontId="33" fillId="22" borderId="5" xfId="0" applyNumberFormat="1" applyFont="1" applyFill="1" applyBorder="1" applyAlignment="1" applyProtection="1">
      <alignment horizontal="center" vertical="center" wrapText="1"/>
      <protection hidden="1"/>
    </xf>
    <xf numFmtId="0" fontId="33" fillId="22" borderId="5" xfId="0" applyFont="1" applyFill="1" applyBorder="1" applyAlignment="1" applyProtection="1">
      <alignment horizontal="center" vertical="center" wrapText="1"/>
      <protection hidden="1"/>
    </xf>
    <xf numFmtId="0" fontId="33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1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1" xfId="0" applyNumberFormat="1" applyFill="1" applyBorder="1" applyAlignment="1" applyProtection="1">
      <alignment horizontal="center" vertical="center" wrapText="1"/>
      <protection hidden="1"/>
    </xf>
    <xf numFmtId="1" fontId="0" fillId="2" borderId="8" xfId="0" applyNumberFormat="1" applyFill="1" applyBorder="1" applyAlignment="1" applyProtection="1">
      <alignment horizontal="center" vertical="center" wrapText="1"/>
      <protection hidden="1"/>
    </xf>
    <xf numFmtId="168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171" fontId="0" fillId="22" borderId="1" xfId="0" applyNumberFormat="1" applyFill="1" applyBorder="1" applyAlignment="1" applyProtection="1">
      <alignment horizontal="center" vertical="center" wrapText="1"/>
      <protection hidden="1"/>
    </xf>
    <xf numFmtId="171" fontId="33" fillId="22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22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22" borderId="54" xfId="0" applyFont="1" applyFill="1" applyBorder="1" applyAlignment="1" applyProtection="1">
      <alignment horizontal="center" vertical="center" wrapText="1"/>
      <protection hidden="1"/>
    </xf>
    <xf numFmtId="0" fontId="0" fillId="22" borderId="20" xfId="0" applyFill="1" applyBorder="1" applyAlignment="1" applyProtection="1">
      <alignment horizontal="center" vertical="center" wrapText="1"/>
      <protection hidden="1"/>
    </xf>
    <xf numFmtId="168" fontId="33" fillId="22" borderId="54" xfId="0" applyNumberFormat="1" applyFont="1" applyFill="1" applyBorder="1" applyAlignment="1" applyProtection="1">
      <alignment horizontal="center" vertical="center" wrapText="1"/>
      <protection hidden="1"/>
    </xf>
    <xf numFmtId="3" fontId="33" fillId="22" borderId="33" xfId="0" applyNumberFormat="1" applyFont="1" applyFill="1" applyBorder="1" applyAlignment="1" applyProtection="1">
      <alignment horizontal="center" vertical="center" wrapText="1"/>
      <protection hidden="1"/>
    </xf>
    <xf numFmtId="168" fontId="33" fillId="22" borderId="33" xfId="0" applyNumberFormat="1" applyFont="1" applyFill="1" applyBorder="1" applyAlignment="1" applyProtection="1">
      <alignment horizontal="center" vertical="center" wrapText="1"/>
      <protection hidden="1"/>
    </xf>
    <xf numFmtId="0" fontId="33" fillId="2" borderId="33" xfId="0" applyFont="1" applyFill="1" applyBorder="1" applyAlignment="1" applyProtection="1">
      <alignment horizontal="center" vertical="center"/>
      <protection hidden="1"/>
    </xf>
    <xf numFmtId="0" fontId="33" fillId="2" borderId="27" xfId="0" applyFont="1" applyFill="1" applyBorder="1" applyAlignment="1" applyProtection="1">
      <alignment horizontal="center" vertical="center"/>
      <protection hidden="1"/>
    </xf>
    <xf numFmtId="0" fontId="33" fillId="2" borderId="52" xfId="0" applyFont="1" applyFill="1" applyBorder="1" applyAlignment="1" applyProtection="1">
      <alignment horizontal="center" vertical="center"/>
      <protection hidden="1"/>
    </xf>
    <xf numFmtId="0" fontId="33" fillId="22" borderId="54" xfId="0" applyFont="1" applyFill="1" applyBorder="1" applyAlignment="1" applyProtection="1">
      <alignment horizontal="center" vertical="center"/>
      <protection hidden="1"/>
    </xf>
    <xf numFmtId="0" fontId="33" fillId="22" borderId="27" xfId="0" applyFont="1" applyFill="1" applyBorder="1" applyAlignment="1" applyProtection="1">
      <alignment horizontal="center" vertical="center"/>
      <protection hidden="1"/>
    </xf>
    <xf numFmtId="0" fontId="33" fillId="22" borderId="20" xfId="0" applyFont="1" applyFill="1" applyBorder="1" applyAlignment="1" applyProtection="1">
      <alignment horizontal="center" vertical="center"/>
      <protection hidden="1"/>
    </xf>
    <xf numFmtId="0" fontId="33" fillId="22" borderId="33" xfId="0" applyFont="1" applyFill="1" applyBorder="1" applyAlignment="1" applyProtection="1">
      <alignment horizontal="center" vertical="center"/>
      <protection hidden="1"/>
    </xf>
    <xf numFmtId="168" fontId="33" fillId="22" borderId="33" xfId="0" applyNumberFormat="1" applyFont="1" applyFill="1" applyBorder="1" applyAlignment="1" applyProtection="1">
      <alignment horizontal="center" vertical="center"/>
      <protection hidden="1"/>
    </xf>
    <xf numFmtId="168" fontId="33" fillId="22" borderId="27" xfId="0" applyNumberFormat="1" applyFont="1" applyFill="1" applyBorder="1" applyAlignment="1" applyProtection="1">
      <alignment horizontal="center" vertical="center"/>
      <protection hidden="1"/>
    </xf>
    <xf numFmtId="168" fontId="33" fillId="22" borderId="20" xfId="0" applyNumberFormat="1" applyFont="1" applyFill="1" applyBorder="1" applyAlignment="1" applyProtection="1">
      <alignment horizontal="center" vertical="center"/>
      <protection hidden="1"/>
    </xf>
    <xf numFmtId="168" fontId="33" fillId="2" borderId="33" xfId="0" applyNumberFormat="1" applyFont="1" applyFill="1" applyBorder="1" applyAlignment="1" applyProtection="1">
      <alignment horizontal="center" vertical="center"/>
      <protection hidden="1"/>
    </xf>
    <xf numFmtId="168" fontId="33" fillId="2" borderId="27" xfId="0" applyNumberFormat="1" applyFont="1" applyFill="1" applyBorder="1" applyAlignment="1" applyProtection="1">
      <alignment horizontal="center" vertical="center"/>
      <protection hidden="1"/>
    </xf>
    <xf numFmtId="168" fontId="33" fillId="2" borderId="52" xfId="0" applyNumberFormat="1" applyFont="1" applyFill="1" applyBorder="1" applyAlignment="1" applyProtection="1">
      <alignment horizontal="center" vertical="center"/>
      <protection hidden="1"/>
    </xf>
    <xf numFmtId="14" fontId="33" fillId="22" borderId="62" xfId="0" applyNumberFormat="1" applyFont="1" applyFill="1" applyBorder="1" applyAlignment="1" applyProtection="1">
      <alignment horizontal="center" vertical="center"/>
      <protection hidden="1"/>
    </xf>
    <xf numFmtId="14" fontId="33" fillId="22" borderId="55" xfId="0" applyNumberFormat="1" applyFont="1" applyFill="1" applyBorder="1" applyAlignment="1" applyProtection="1">
      <alignment horizontal="center" vertical="center"/>
      <protection hidden="1"/>
    </xf>
    <xf numFmtId="14" fontId="33" fillId="22" borderId="47" xfId="0" applyNumberFormat="1" applyFont="1" applyFill="1" applyBorder="1" applyAlignment="1" applyProtection="1">
      <alignment horizontal="center" vertical="center"/>
      <protection hidden="1"/>
    </xf>
    <xf numFmtId="14" fontId="33" fillId="22" borderId="49" xfId="0" applyNumberFormat="1" applyFont="1" applyFill="1" applyBorder="1" applyAlignment="1" applyProtection="1">
      <alignment horizontal="center" vertical="center"/>
      <protection hidden="1"/>
    </xf>
    <xf numFmtId="0" fontId="33" fillId="2" borderId="49" xfId="0" applyFont="1" applyFill="1" applyBorder="1" applyAlignment="1" applyProtection="1">
      <alignment horizontal="center" vertical="center"/>
      <protection hidden="1"/>
    </xf>
    <xf numFmtId="0" fontId="33" fillId="2" borderId="55" xfId="0" applyFont="1" applyFill="1" applyBorder="1" applyAlignment="1" applyProtection="1">
      <alignment horizontal="center" vertical="center"/>
      <protection hidden="1"/>
    </xf>
    <xf numFmtId="0" fontId="33" fillId="2" borderId="53" xfId="0" applyFont="1" applyFill="1" applyBorder="1" applyAlignment="1" applyProtection="1">
      <alignment horizontal="center" vertical="center"/>
      <protection hidden="1"/>
    </xf>
    <xf numFmtId="168" fontId="33" fillId="22" borderId="54" xfId="0" applyNumberFormat="1" applyFont="1" applyFill="1" applyBorder="1" applyAlignment="1" applyProtection="1">
      <alignment horizontal="center" vertical="center"/>
      <protection hidden="1"/>
    </xf>
    <xf numFmtId="0" fontId="30" fillId="13" borderId="4" xfId="0" applyFont="1" applyFill="1" applyBorder="1" applyAlignment="1" applyProtection="1">
      <alignment horizontal="center" vertical="center" wrapText="1"/>
      <protection hidden="1"/>
    </xf>
    <xf numFmtId="0" fontId="30" fillId="13" borderId="5" xfId="0" applyFont="1" applyFill="1" applyBorder="1" applyAlignment="1" applyProtection="1">
      <alignment horizontal="center" vertical="center" wrapText="1"/>
      <protection hidden="1"/>
    </xf>
    <xf numFmtId="0" fontId="30" fillId="13" borderId="42" xfId="0" applyFont="1" applyFill="1" applyBorder="1" applyAlignment="1" applyProtection="1">
      <alignment horizontal="center" vertical="center" wrapText="1"/>
      <protection hidden="1"/>
    </xf>
    <xf numFmtId="0" fontId="30" fillId="13" borderId="48" xfId="0" applyFont="1" applyFill="1" applyBorder="1" applyAlignment="1" applyProtection="1">
      <alignment horizontal="center" vertical="center" wrapText="1"/>
      <protection hidden="1"/>
    </xf>
    <xf numFmtId="0" fontId="30" fillId="13" borderId="33" xfId="0" applyFont="1" applyFill="1" applyBorder="1" applyAlignment="1" applyProtection="1">
      <alignment horizontal="center" vertical="center" wrapText="1"/>
      <protection hidden="1"/>
    </xf>
    <xf numFmtId="0" fontId="30" fillId="13" borderId="49" xfId="0" applyFont="1" applyFill="1" applyBorder="1" applyAlignment="1" applyProtection="1">
      <alignment horizontal="center" vertical="center" wrapText="1"/>
      <protection hidden="1"/>
    </xf>
    <xf numFmtId="49" fontId="31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31" fillId="6" borderId="7" xfId="2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Font="1" applyFill="1" applyBorder="1" applyAlignment="1" applyProtection="1">
      <alignment horizontal="center" vertical="center" wrapText="1"/>
      <protection hidden="1"/>
    </xf>
    <xf numFmtId="0" fontId="31" fillId="6" borderId="7" xfId="0" applyFont="1" applyFill="1" applyBorder="1" applyAlignment="1" applyProtection="1">
      <alignment horizontal="center" vertical="center" wrapText="1"/>
      <protection hidden="1"/>
    </xf>
    <xf numFmtId="0" fontId="31" fillId="6" borderId="42" xfId="0" applyFont="1" applyFill="1" applyBorder="1" applyAlignment="1" applyProtection="1">
      <alignment horizontal="center" vertical="center" wrapText="1"/>
      <protection hidden="1"/>
    </xf>
    <xf numFmtId="0" fontId="31" fillId="6" borderId="12" xfId="0" applyFont="1" applyFill="1" applyBorder="1" applyAlignment="1" applyProtection="1">
      <alignment horizontal="center" vertical="center" wrapText="1"/>
      <protection hidden="1"/>
    </xf>
    <xf numFmtId="0" fontId="30" fillId="13" borderId="22" xfId="0" applyFont="1" applyFill="1" applyBorder="1" applyAlignment="1" applyProtection="1">
      <alignment horizontal="center" vertical="center" wrapText="1"/>
      <protection hidden="1"/>
    </xf>
    <xf numFmtId="0" fontId="30" fillId="13" borderId="32" xfId="0" applyFont="1" applyFill="1" applyBorder="1" applyAlignment="1" applyProtection="1">
      <alignment horizontal="center" vertical="center" wrapText="1"/>
      <protection hidden="1"/>
    </xf>
    <xf numFmtId="0" fontId="30" fillId="13" borderId="23" xfId="0" applyFont="1" applyFill="1" applyBorder="1" applyAlignment="1" applyProtection="1">
      <alignment horizontal="center" vertical="center" wrapText="1"/>
      <protection hidden="1"/>
    </xf>
    <xf numFmtId="0" fontId="30" fillId="13" borderId="21" xfId="0" applyFont="1" applyFill="1" applyBorder="1" applyAlignment="1" applyProtection="1">
      <alignment horizontal="center" vertical="center" wrapText="1"/>
      <protection hidden="1"/>
    </xf>
    <xf numFmtId="0" fontId="30" fillId="13" borderId="43" xfId="0" applyFont="1" applyFill="1" applyBorder="1" applyAlignment="1" applyProtection="1">
      <alignment horizontal="center" vertical="center" wrapText="1"/>
      <protection hidden="1"/>
    </xf>
    <xf numFmtId="0" fontId="30" fillId="13" borderId="6" xfId="0" applyFont="1" applyFill="1" applyBorder="1" applyAlignment="1" applyProtection="1">
      <alignment horizontal="center" vertical="center" wrapText="1"/>
      <protection hidden="1"/>
    </xf>
    <xf numFmtId="0" fontId="33" fillId="22" borderId="34" xfId="0" applyFont="1" applyFill="1" applyBorder="1" applyAlignment="1" applyProtection="1">
      <alignment horizontal="center" vertical="center"/>
      <protection hidden="1"/>
    </xf>
    <xf numFmtId="0" fontId="33" fillId="22" borderId="59" xfId="0" applyFont="1" applyFill="1" applyBorder="1" applyAlignment="1" applyProtection="1">
      <alignment horizontal="center" vertical="center"/>
      <protection hidden="1"/>
    </xf>
    <xf numFmtId="0" fontId="33" fillId="22" borderId="35" xfId="0" applyFont="1" applyFill="1" applyBorder="1" applyAlignment="1" applyProtection="1">
      <alignment horizontal="center" vertical="center"/>
      <protection hidden="1"/>
    </xf>
    <xf numFmtId="0" fontId="31" fillId="6" borderId="42" xfId="0" applyFont="1" applyFill="1" applyBorder="1" applyAlignment="1" applyProtection="1">
      <alignment horizontal="center" vertical="center"/>
      <protection hidden="1"/>
    </xf>
    <xf numFmtId="0" fontId="31" fillId="6" borderId="49" xfId="0" applyFont="1" applyFill="1" applyBorder="1" applyAlignment="1" applyProtection="1">
      <alignment horizontal="center" vertical="center"/>
      <protection hidden="1"/>
    </xf>
    <xf numFmtId="0" fontId="34" fillId="22" borderId="4" xfId="0" applyFont="1" applyFill="1" applyBorder="1" applyAlignment="1" applyProtection="1">
      <alignment horizontal="center" vertical="center" wrapText="1"/>
      <protection hidden="1"/>
    </xf>
    <xf numFmtId="0" fontId="34" fillId="22" borderId="44" xfId="0" applyFont="1" applyFill="1" applyBorder="1" applyAlignment="1" applyProtection="1">
      <alignment horizontal="center" vertical="center" wrapText="1"/>
      <protection hidden="1"/>
    </xf>
    <xf numFmtId="0" fontId="34" fillId="22" borderId="7" xfId="0" applyFont="1" applyFill="1" applyBorder="1" applyAlignment="1" applyProtection="1">
      <alignment horizontal="center" vertical="center" wrapText="1"/>
      <protection hidden="1"/>
    </xf>
    <xf numFmtId="0" fontId="34" fillId="2" borderId="59" xfId="0" applyFont="1" applyFill="1" applyBorder="1" applyAlignment="1" applyProtection="1">
      <alignment horizontal="center" vertical="center" wrapText="1"/>
      <protection hidden="1"/>
    </xf>
    <xf numFmtId="0" fontId="34" fillId="2" borderId="35" xfId="0" applyFont="1" applyFill="1" applyBorder="1" applyAlignment="1" applyProtection="1">
      <alignment horizontal="center" vertical="center" wrapText="1"/>
      <protection hidden="1"/>
    </xf>
    <xf numFmtId="0" fontId="34" fillId="22" borderId="22" xfId="0" applyFont="1" applyFill="1" applyBorder="1" applyAlignment="1" applyProtection="1">
      <alignment horizontal="center" vertical="center" wrapText="1"/>
      <protection hidden="1"/>
    </xf>
    <xf numFmtId="0" fontId="34" fillId="22" borderId="24" xfId="0" applyFont="1" applyFill="1" applyBorder="1" applyAlignment="1" applyProtection="1">
      <alignment horizontal="center" vertical="center" wrapText="1"/>
      <protection hidden="1"/>
    </xf>
    <xf numFmtId="0" fontId="34" fillId="22" borderId="21" xfId="0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left" vertical="center" wrapText="1"/>
      <protection hidden="1"/>
    </xf>
    <xf numFmtId="2" fontId="4" fillId="6" borderId="1" xfId="0" applyNumberFormat="1" applyFont="1" applyFill="1" applyBorder="1" applyAlignment="1" applyProtection="1">
      <alignment horizontal="left" vertical="center" wrapText="1"/>
      <protection hidden="1"/>
    </xf>
    <xf numFmtId="2" fontId="19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3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14" xfId="0" applyNumberFormat="1" applyFont="1" applyFill="1" applyBorder="1" applyAlignment="1" applyProtection="1">
      <alignment horizontal="center" vertical="center"/>
      <protection hidden="1"/>
    </xf>
    <xf numFmtId="2" fontId="26" fillId="3" borderId="15" xfId="0" applyNumberFormat="1" applyFont="1" applyFill="1" applyBorder="1" applyAlignment="1" applyProtection="1">
      <alignment horizontal="center" vertical="center"/>
      <protection hidden="1"/>
    </xf>
    <xf numFmtId="2" fontId="26" fillId="3" borderId="16" xfId="0" applyNumberFormat="1" applyFont="1" applyFill="1" applyBorder="1" applyAlignment="1" applyProtection="1">
      <alignment horizontal="center" vertical="center"/>
      <protection hidden="1"/>
    </xf>
    <xf numFmtId="2" fontId="30" fillId="3" borderId="14" xfId="0" applyNumberFormat="1" applyFont="1" applyFill="1" applyBorder="1" applyAlignment="1" applyProtection="1">
      <alignment horizontal="center" vertical="center"/>
      <protection hidden="1"/>
    </xf>
    <xf numFmtId="2" fontId="30" fillId="3" borderId="15" xfId="0" applyNumberFormat="1" applyFont="1" applyFill="1" applyBorder="1" applyAlignment="1" applyProtection="1">
      <alignment horizontal="center" vertical="center"/>
      <protection hidden="1"/>
    </xf>
    <xf numFmtId="2" fontId="30" fillId="3" borderId="16" xfId="0" applyNumberFormat="1" applyFont="1" applyFill="1" applyBorder="1" applyAlignment="1" applyProtection="1">
      <alignment horizontal="center" vertical="center"/>
      <protection hidden="1"/>
    </xf>
    <xf numFmtId="2" fontId="8" fillId="2" borderId="2" xfId="0" applyNumberFormat="1" applyFont="1" applyFill="1" applyBorder="1" applyAlignment="1" applyProtection="1">
      <alignment horizontal="left" vertical="center"/>
      <protection hidden="1"/>
    </xf>
    <xf numFmtId="2" fontId="8" fillId="2" borderId="19" xfId="0" applyNumberFormat="1" applyFont="1" applyFill="1" applyBorder="1" applyAlignment="1" applyProtection="1">
      <alignment horizontal="left" vertical="center"/>
      <protection hidden="1"/>
    </xf>
    <xf numFmtId="2" fontId="8" fillId="2" borderId="3" xfId="0" applyNumberFormat="1" applyFont="1" applyFill="1" applyBorder="1" applyAlignment="1" applyProtection="1">
      <alignment horizontal="left" vertical="center"/>
      <protection hidden="1"/>
    </xf>
    <xf numFmtId="2" fontId="15" fillId="8" borderId="14" xfId="0" applyNumberFormat="1" applyFont="1" applyFill="1" applyBorder="1" applyAlignment="1" applyProtection="1">
      <alignment horizontal="center" vertical="center"/>
      <protection hidden="1"/>
    </xf>
    <xf numFmtId="2" fontId="15" fillId="8" borderId="15" xfId="0" applyNumberFormat="1" applyFont="1" applyFill="1" applyBorder="1" applyAlignment="1" applyProtection="1">
      <alignment horizontal="center" vertical="center"/>
      <protection hidden="1"/>
    </xf>
    <xf numFmtId="2" fontId="15" fillId="8" borderId="16" xfId="0" applyNumberFormat="1" applyFont="1" applyFill="1" applyBorder="1" applyAlignment="1" applyProtection="1">
      <alignment horizontal="center" vertical="center"/>
      <protection hidden="1"/>
    </xf>
    <xf numFmtId="2" fontId="3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3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3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3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9" xfId="0" applyNumberFormat="1" applyFont="1" applyFill="1" applyBorder="1" applyAlignment="1" applyProtection="1">
      <alignment horizontal="center" vertical="center"/>
      <protection hidden="1"/>
    </xf>
    <xf numFmtId="2" fontId="18" fillId="6" borderId="10" xfId="0" applyNumberFormat="1" applyFont="1" applyFill="1" applyBorder="1" applyAlignment="1" applyProtection="1">
      <alignment horizontal="center" vertical="center"/>
      <protection hidden="1"/>
    </xf>
    <xf numFmtId="2" fontId="18" fillId="6" borderId="11" xfId="0" applyNumberFormat="1" applyFont="1" applyFill="1" applyBorder="1" applyAlignment="1" applyProtection="1">
      <alignment horizontal="center" vertical="center"/>
      <protection hidden="1"/>
    </xf>
    <xf numFmtId="2" fontId="14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9" xfId="0" applyNumberFormat="1" applyFont="1" applyFill="1" applyBorder="1" applyAlignment="1" applyProtection="1">
      <alignment horizontal="center" vertical="center"/>
      <protection hidden="1"/>
    </xf>
    <xf numFmtId="2" fontId="8" fillId="6" borderId="3" xfId="0" applyNumberFormat="1" applyFont="1" applyFill="1" applyBorder="1" applyAlignment="1" applyProtection="1">
      <alignment horizontal="center" vertical="center"/>
      <protection hidden="1"/>
    </xf>
    <xf numFmtId="2" fontId="8" fillId="6" borderId="19" xfId="0" applyNumberFormat="1" applyFont="1" applyFill="1" applyBorder="1" applyAlignment="1" applyProtection="1">
      <alignment horizontal="center"/>
      <protection hidden="1"/>
    </xf>
    <xf numFmtId="2" fontId="8" fillId="6" borderId="3" xfId="0" applyNumberFormat="1" applyFont="1" applyFill="1" applyBorder="1" applyAlignment="1" applyProtection="1">
      <alignment horizontal="center"/>
      <protection hidden="1"/>
    </xf>
    <xf numFmtId="2" fontId="14" fillId="6" borderId="17" xfId="0" applyNumberFormat="1" applyFont="1" applyFill="1" applyBorder="1" applyAlignment="1" applyProtection="1">
      <alignment horizontal="center" vertical="center"/>
      <protection hidden="1"/>
    </xf>
    <xf numFmtId="2" fontId="14" fillId="6" borderId="25" xfId="0" applyNumberFormat="1" applyFont="1" applyFill="1" applyBorder="1" applyAlignment="1" applyProtection="1">
      <alignment horizontal="center" vertical="center"/>
      <protection hidden="1"/>
    </xf>
    <xf numFmtId="2" fontId="14" fillId="6" borderId="18" xfId="0" applyNumberFormat="1" applyFont="1" applyFill="1" applyBorder="1" applyAlignment="1" applyProtection="1">
      <alignment horizontal="center" vertical="center"/>
      <protection hidden="1"/>
    </xf>
    <xf numFmtId="2" fontId="15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5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5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4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9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9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5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3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4" fillId="6" borderId="29" xfId="0" applyNumberFormat="1" applyFont="1" applyFill="1" applyBorder="1" applyAlignment="1" applyProtection="1">
      <alignment horizontal="left" vertical="center" wrapText="1"/>
      <protection hidden="1"/>
    </xf>
    <xf numFmtId="2" fontId="10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20" xfId="0" applyNumberFormat="1" applyFont="1" applyFill="1" applyBorder="1" applyAlignment="1" applyProtection="1">
      <alignment horizontal="center" vertical="center"/>
      <protection hidden="1"/>
    </xf>
    <xf numFmtId="0" fontId="4" fillId="18" borderId="1" xfId="0" applyFont="1" applyFill="1" applyBorder="1" applyAlignment="1" applyProtection="1">
      <alignment horizontal="center" vertical="center" wrapText="1"/>
      <protection hidden="1"/>
    </xf>
    <xf numFmtId="2" fontId="30" fillId="3" borderId="22" xfId="0" applyNumberFormat="1" applyFont="1" applyFill="1" applyBorder="1" applyAlignment="1" applyProtection="1">
      <alignment horizontal="center" vertical="center"/>
      <protection hidden="1"/>
    </xf>
    <xf numFmtId="2" fontId="30" fillId="3" borderId="32" xfId="0" applyNumberFormat="1" applyFont="1" applyFill="1" applyBorder="1" applyAlignment="1" applyProtection="1">
      <alignment horizontal="center" vertical="center"/>
      <protection hidden="1"/>
    </xf>
    <xf numFmtId="2" fontId="30" fillId="3" borderId="23" xfId="0" applyNumberFormat="1" applyFont="1" applyFill="1" applyBorder="1" applyAlignment="1" applyProtection="1">
      <alignment horizontal="center" vertical="center"/>
      <protection hidden="1"/>
    </xf>
    <xf numFmtId="2" fontId="8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8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8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32" fillId="8" borderId="14" xfId="0" applyNumberFormat="1" applyFont="1" applyFill="1" applyBorder="1" applyAlignment="1" applyProtection="1">
      <alignment horizontal="center" vertical="center"/>
      <protection hidden="1"/>
    </xf>
    <xf numFmtId="2" fontId="32" fillId="8" borderId="15" xfId="0" applyNumberFormat="1" applyFont="1" applyFill="1" applyBorder="1" applyAlignment="1" applyProtection="1">
      <alignment horizontal="center" vertical="center"/>
      <protection hidden="1"/>
    </xf>
    <xf numFmtId="2" fontId="32" fillId="8" borderId="16" xfId="0" applyNumberFormat="1" applyFont="1" applyFill="1" applyBorder="1" applyAlignment="1" applyProtection="1">
      <alignment horizontal="center" vertical="center"/>
      <protection hidden="1"/>
    </xf>
    <xf numFmtId="2" fontId="19" fillId="6" borderId="27" xfId="0" applyNumberFormat="1" applyFont="1" applyFill="1" applyBorder="1" applyAlignment="1" applyProtection="1">
      <alignment horizontal="center" vertical="center" wrapText="1"/>
      <protection hidden="1"/>
    </xf>
    <xf numFmtId="2" fontId="22" fillId="3" borderId="14" xfId="0" applyNumberFormat="1" applyFont="1" applyFill="1" applyBorder="1" applyAlignment="1" applyProtection="1">
      <alignment horizontal="center" vertical="center"/>
      <protection hidden="1"/>
    </xf>
    <xf numFmtId="2" fontId="22" fillId="3" borderId="15" xfId="0" applyNumberFormat="1" applyFont="1" applyFill="1" applyBorder="1" applyAlignment="1" applyProtection="1">
      <alignment horizontal="center" vertical="center"/>
      <protection hidden="1"/>
    </xf>
    <xf numFmtId="2" fontId="9" fillId="6" borderId="1" xfId="2" applyNumberFormat="1" applyFont="1" applyFill="1" applyBorder="1" applyAlignment="1" applyProtection="1">
      <alignment horizontal="left" vertical="center"/>
      <protection hidden="1"/>
    </xf>
    <xf numFmtId="2" fontId="9" fillId="6" borderId="2" xfId="2" applyNumberFormat="1" applyFont="1" applyFill="1" applyBorder="1" applyAlignment="1" applyProtection="1">
      <alignment horizontal="left" vertical="center" wrapText="1"/>
      <protection hidden="1"/>
    </xf>
    <xf numFmtId="2" fontId="9" fillId="6" borderId="3" xfId="2" applyNumberFormat="1" applyFont="1" applyFill="1" applyBorder="1" applyAlignment="1" applyProtection="1">
      <alignment horizontal="left" vertical="center" wrapText="1"/>
      <protection hidden="1"/>
    </xf>
    <xf numFmtId="2" fontId="8" fillId="9" borderId="2" xfId="0" applyNumberFormat="1" applyFont="1" applyFill="1" applyBorder="1" applyAlignment="1" applyProtection="1">
      <alignment horizontal="center" vertical="center"/>
      <protection hidden="1"/>
    </xf>
    <xf numFmtId="2" fontId="8" fillId="9" borderId="3" xfId="0" applyNumberFormat="1" applyFont="1" applyFill="1" applyBorder="1" applyAlignment="1" applyProtection="1">
      <alignment horizontal="center" vertical="center"/>
      <protection hidden="1"/>
    </xf>
    <xf numFmtId="2" fontId="10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20" xfId="2" applyNumberFormat="1" applyFont="1" applyFill="1" applyBorder="1" applyAlignment="1" applyProtection="1">
      <alignment horizontal="center" vertical="center" wrapText="1"/>
      <protection hidden="1"/>
    </xf>
    <xf numFmtId="2" fontId="42" fillId="6" borderId="1" xfId="0" applyNumberFormat="1" applyFont="1" applyFill="1" applyBorder="1" applyAlignment="1" applyProtection="1">
      <alignment horizontal="left" vertical="center" wrapText="1"/>
      <protection hidden="1"/>
    </xf>
    <xf numFmtId="2" fontId="9" fillId="6" borderId="2" xfId="2" applyNumberFormat="1" applyFont="1" applyFill="1" applyBorder="1" applyAlignment="1" applyProtection="1">
      <alignment horizontal="left" vertical="center"/>
      <protection hidden="1"/>
    </xf>
    <xf numFmtId="2" fontId="9" fillId="6" borderId="3" xfId="2" applyNumberFormat="1" applyFont="1" applyFill="1" applyBorder="1" applyAlignment="1" applyProtection="1">
      <alignment horizontal="left" vertical="center"/>
      <protection hidden="1"/>
    </xf>
    <xf numFmtId="2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19" xfId="0" applyFont="1" applyFill="1" applyBorder="1" applyAlignment="1" applyProtection="1">
      <alignment horizont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2" fontId="8" fillId="6" borderId="1" xfId="0" applyNumberFormat="1" applyFont="1" applyFill="1" applyBorder="1" applyAlignment="1" applyProtection="1">
      <alignment horizontal="center"/>
      <protection hidden="1"/>
    </xf>
    <xf numFmtId="2" fontId="14" fillId="6" borderId="0" xfId="0" applyNumberFormat="1" applyFont="1" applyFill="1" applyBorder="1" applyAlignment="1" applyProtection="1">
      <alignment horizontal="left" vertical="center" wrapText="1"/>
      <protection hidden="1"/>
    </xf>
    <xf numFmtId="2" fontId="14" fillId="12" borderId="3" xfId="0" applyNumberFormat="1" applyFont="1" applyFill="1" applyBorder="1" applyAlignment="1" applyProtection="1">
      <alignment horizontal="center" vertical="center"/>
      <protection hidden="1"/>
    </xf>
    <xf numFmtId="2" fontId="14" fillId="12" borderId="1" xfId="0" applyNumberFormat="1" applyFont="1" applyFill="1" applyBorder="1" applyAlignment="1" applyProtection="1">
      <alignment horizontal="center" vertical="center"/>
      <protection hidden="1"/>
    </xf>
    <xf numFmtId="2" fontId="8" fillId="14" borderId="14" xfId="3" applyFont="1" applyBorder="1" applyAlignment="1" applyProtection="1">
      <alignment horizontal="center" vertical="center" wrapText="1"/>
      <protection locked="0" hidden="1"/>
    </xf>
    <xf numFmtId="2" fontId="8" fillId="14" borderId="16" xfId="3" applyFont="1" applyBorder="1" applyAlignment="1" applyProtection="1">
      <alignment horizontal="center" vertical="center" wrapText="1"/>
      <protection locked="0" hidden="1"/>
    </xf>
    <xf numFmtId="2" fontId="15" fillId="3" borderId="14" xfId="0" applyNumberFormat="1" applyFont="1" applyFill="1" applyBorder="1" applyAlignment="1" applyProtection="1">
      <alignment horizontal="center" vertical="center"/>
      <protection hidden="1"/>
    </xf>
    <xf numFmtId="2" fontId="15" fillId="3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2" xfId="0" applyNumberFormat="1" applyFont="1" applyFill="1" applyBorder="1" applyAlignment="1" applyProtection="1">
      <alignment horizontal="center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8" fillId="0" borderId="26" xfId="0" applyNumberFormat="1" applyFont="1" applyBorder="1" applyAlignment="1" applyProtection="1">
      <alignment horizontal="center"/>
      <protection hidden="1"/>
    </xf>
    <xf numFmtId="2" fontId="8" fillId="0" borderId="29" xfId="0" applyNumberFormat="1" applyFont="1" applyBorder="1" applyAlignment="1" applyProtection="1">
      <alignment horizontal="center"/>
      <protection hidden="1"/>
    </xf>
    <xf numFmtId="2" fontId="8" fillId="0" borderId="31" xfId="0" applyNumberFormat="1" applyFont="1" applyBorder="1" applyAlignment="1" applyProtection="1">
      <alignment horizontal="center"/>
      <protection hidden="1"/>
    </xf>
    <xf numFmtId="2" fontId="8" fillId="0" borderId="30" xfId="0" applyNumberFormat="1" applyFont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2" fontId="8" fillId="0" borderId="18" xfId="0" applyNumberFormat="1" applyFont="1" applyBorder="1" applyAlignment="1" applyProtection="1">
      <alignment horizontal="center"/>
      <protection hidden="1"/>
    </xf>
    <xf numFmtId="2" fontId="10" fillId="6" borderId="20" xfId="0" applyNumberFormat="1" applyFont="1" applyFill="1" applyBorder="1" applyAlignment="1" applyProtection="1">
      <alignment horizontal="center" vertical="center"/>
      <protection hidden="1"/>
    </xf>
    <xf numFmtId="2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6" borderId="20" xfId="0" applyNumberFormat="1" applyFont="1" applyFill="1" applyBorder="1" applyAlignment="1" applyProtection="1">
      <alignment horizontal="left" vertical="center"/>
      <protection hidden="1"/>
    </xf>
    <xf numFmtId="2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20" xfId="2" applyNumberFormat="1" applyFont="1" applyFill="1" applyBorder="1" applyAlignment="1" applyProtection="1">
      <alignment horizontal="left" vertical="center"/>
      <protection hidden="1"/>
    </xf>
    <xf numFmtId="168" fontId="8" fillId="9" borderId="2" xfId="0" applyNumberFormat="1" applyFont="1" applyFill="1" applyBorder="1" applyAlignment="1" applyProtection="1">
      <alignment horizontal="center" vertical="center"/>
      <protection hidden="1"/>
    </xf>
    <xf numFmtId="168" fontId="8" fillId="9" borderId="3" xfId="0" applyNumberFormat="1" applyFont="1" applyFill="1" applyBorder="1" applyAlignment="1" applyProtection="1">
      <alignment horizontal="center" vertical="center"/>
      <protection hidden="1"/>
    </xf>
    <xf numFmtId="0" fontId="11" fillId="3" borderId="22" xfId="0" applyFont="1" applyFill="1" applyBorder="1" applyAlignment="1" applyProtection="1">
      <alignment horizontal="center" vertical="center"/>
      <protection hidden="1"/>
    </xf>
    <xf numFmtId="0" fontId="11" fillId="3" borderId="32" xfId="0" applyFont="1" applyFill="1" applyBorder="1" applyAlignment="1" applyProtection="1">
      <alignment horizontal="center" vertical="center"/>
      <protection hidden="1"/>
    </xf>
    <xf numFmtId="0" fontId="11" fillId="3" borderId="23" xfId="0" applyFont="1" applyFill="1" applyBorder="1" applyAlignment="1" applyProtection="1">
      <alignment horizontal="center" vertical="center"/>
      <protection hidden="1"/>
    </xf>
    <xf numFmtId="1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9" fillId="3" borderId="1" xfId="0" applyFont="1" applyFill="1" applyBorder="1" applyAlignment="1" applyProtection="1">
      <alignment horizontal="center" vertical="center" wrapText="1"/>
      <protection hidden="1"/>
    </xf>
    <xf numFmtId="2" fontId="9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2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47" fillId="0" borderId="0" xfId="0" applyFont="1" applyBorder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2" fontId="14" fillId="0" borderId="0" xfId="0" applyNumberFormat="1" applyFont="1" applyBorder="1" applyAlignment="1" applyProtection="1">
      <alignment horizontal="right" vertical="center" wrapText="1"/>
      <protection hidden="1"/>
    </xf>
    <xf numFmtId="0" fontId="53" fillId="0" borderId="0" xfId="0" applyFont="1" applyBorder="1" applyAlignment="1" applyProtection="1">
      <alignment horizontal="justify" vertical="justify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justify" vertical="justify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7" fillId="0" borderId="22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53" fillId="2" borderId="0" xfId="0" applyFont="1" applyFill="1" applyBorder="1" applyAlignment="1" applyProtection="1">
      <alignment horizontal="justify" vertical="justify" wrapText="1"/>
      <protection hidden="1"/>
    </xf>
    <xf numFmtId="0" fontId="51" fillId="0" borderId="0" xfId="0" applyFont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vertical="center" wrapText="1"/>
      <protection hidden="1"/>
    </xf>
    <xf numFmtId="0" fontId="6" fillId="0" borderId="23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2" fontId="47" fillId="2" borderId="0" xfId="0" applyNumberFormat="1" applyFont="1" applyFill="1" applyAlignment="1" applyProtection="1">
      <alignment horizontal="right" vertical="center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53" fillId="0" borderId="0" xfId="0" applyFont="1" applyBorder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justify" vertical="justify" wrapText="1" readingOrder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justify" vertical="center" wrapText="1"/>
      <protection hidden="1"/>
    </xf>
    <xf numFmtId="2" fontId="6" fillId="0" borderId="0" xfId="0" applyNumberFormat="1" applyFont="1" applyBorder="1" applyAlignment="1" applyProtection="1">
      <alignment horizontal="left" vertical="center" wrapText="1"/>
      <protection hidden="1"/>
    </xf>
    <xf numFmtId="14" fontId="6" fillId="0" borderId="0" xfId="0" applyNumberFormat="1" applyFont="1" applyBorder="1" applyAlignment="1" applyProtection="1">
      <alignment horizontal="left" vertical="center" wrapText="1"/>
      <protection hidden="1"/>
    </xf>
    <xf numFmtId="0" fontId="16" fillId="0" borderId="22" xfId="0" applyFont="1" applyBorder="1" applyAlignment="1" applyProtection="1">
      <alignment horizontal="justify" vertical="justify" wrapText="1" readingOrder="1"/>
      <protection hidden="1"/>
    </xf>
    <xf numFmtId="0" fontId="5" fillId="0" borderId="23" xfId="0" applyFont="1" applyBorder="1" applyAlignment="1" applyProtection="1">
      <alignment horizontal="justify" vertical="justify" wrapText="1" readingOrder="1"/>
      <protection hidden="1"/>
    </xf>
    <xf numFmtId="0" fontId="5" fillId="0" borderId="24" xfId="0" applyFont="1" applyBorder="1" applyAlignment="1" applyProtection="1">
      <alignment horizontal="justify" vertical="justify" wrapText="1" readingOrder="1"/>
      <protection hidden="1"/>
    </xf>
    <xf numFmtId="0" fontId="5" fillId="0" borderId="41" xfId="0" applyFont="1" applyBorder="1" applyAlignment="1" applyProtection="1">
      <alignment horizontal="justify" vertical="justify" wrapText="1" readingOrder="1"/>
      <protection hidden="1"/>
    </xf>
    <xf numFmtId="0" fontId="5" fillId="0" borderId="21" xfId="0" applyFont="1" applyBorder="1" applyAlignment="1" applyProtection="1">
      <alignment horizontal="justify" vertical="justify" wrapText="1" readingOrder="1"/>
      <protection hidden="1"/>
    </xf>
    <xf numFmtId="0" fontId="5" fillId="0" borderId="6" xfId="0" applyFont="1" applyBorder="1" applyAlignment="1" applyProtection="1">
      <alignment horizontal="justify" vertical="justify" wrapText="1" readingOrder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2" fontId="47" fillId="0" borderId="0" xfId="0" applyNumberFormat="1" applyFont="1" applyBorder="1" applyAlignment="1" applyProtection="1">
      <alignment horizontal="right" vertical="center" wrapText="1"/>
      <protection hidden="1"/>
    </xf>
    <xf numFmtId="2" fontId="47" fillId="2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14" fontId="53" fillId="0" borderId="0" xfId="0" applyNumberFormat="1" applyFont="1" applyBorder="1" applyAlignment="1" applyProtection="1">
      <alignment horizontal="left" vertical="center" wrapText="1"/>
      <protection hidden="1"/>
    </xf>
    <xf numFmtId="0" fontId="16" fillId="0" borderId="23" xfId="0" applyFont="1" applyBorder="1" applyAlignment="1" applyProtection="1">
      <alignment horizontal="justify" vertical="justify" wrapText="1" readingOrder="1"/>
      <protection hidden="1"/>
    </xf>
    <xf numFmtId="0" fontId="16" fillId="0" borderId="24" xfId="0" applyFont="1" applyBorder="1" applyAlignment="1" applyProtection="1">
      <alignment horizontal="justify" vertical="justify" wrapText="1" readingOrder="1"/>
      <protection hidden="1"/>
    </xf>
    <xf numFmtId="0" fontId="16" fillId="0" borderId="41" xfId="0" applyFont="1" applyBorder="1" applyAlignment="1" applyProtection="1">
      <alignment horizontal="justify" vertical="justify" wrapText="1" readingOrder="1"/>
      <protection hidden="1"/>
    </xf>
    <xf numFmtId="0" fontId="16" fillId="0" borderId="21" xfId="0" applyFont="1" applyBorder="1" applyAlignment="1" applyProtection="1">
      <alignment horizontal="justify" vertical="justify" wrapText="1" readingOrder="1"/>
      <protection hidden="1"/>
    </xf>
    <xf numFmtId="0" fontId="16" fillId="0" borderId="6" xfId="0" applyFont="1" applyBorder="1" applyAlignment="1" applyProtection="1">
      <alignment horizontal="justify" vertical="justify" wrapText="1" readingOrder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AEAAAA"/>
      <color rgb="FF000000"/>
      <color rgb="FF8DB4E2"/>
      <color rgb="FFDDEBF7"/>
      <color rgb="FFF4B084"/>
      <color rgb="FFBDD7EE"/>
      <color rgb="FFFFC000"/>
      <color rgb="FFB6FD03"/>
      <color rgb="FFFF990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33728"/>
        <c:axId val="1741640800"/>
      </c:scatterChart>
      <c:valAx>
        <c:axId val="174163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40800"/>
        <c:crosses val="autoZero"/>
        <c:crossBetween val="midCat"/>
      </c:valAx>
      <c:valAx>
        <c:axId val="17416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7200"/>
        <c:axId val="2006824688"/>
      </c:scatterChart>
      <c:valAx>
        <c:axId val="200683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4688"/>
        <c:crosses val="autoZero"/>
        <c:crossBetween val="midCat"/>
      </c:valAx>
      <c:valAx>
        <c:axId val="200682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7408"/>
        <c:axId val="2006833392"/>
      </c:scatterChart>
      <c:valAx>
        <c:axId val="200682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3392"/>
        <c:crosses val="autoZero"/>
        <c:crossBetween val="midCat"/>
      </c:valAx>
      <c:valAx>
        <c:axId val="20068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7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4480"/>
        <c:axId val="2006837744"/>
      </c:scatterChart>
      <c:valAx>
        <c:axId val="200683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7744"/>
        <c:crosses val="autoZero"/>
        <c:crossBetween val="midCat"/>
      </c:valAx>
      <c:valAx>
        <c:axId val="200683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5232"/>
        <c:axId val="2006835568"/>
      </c:scatterChart>
      <c:valAx>
        <c:axId val="200682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5568"/>
        <c:crosses val="autoZero"/>
        <c:crossBetween val="midCat"/>
      </c:valAx>
      <c:valAx>
        <c:axId val="20068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5776"/>
        <c:axId val="2006835024"/>
      </c:scatterChart>
      <c:valAx>
        <c:axId val="200682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5024"/>
        <c:crosses val="autoZero"/>
        <c:crossBetween val="midCat"/>
      </c:valAx>
      <c:valAx>
        <c:axId val="200683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2848"/>
        <c:axId val="2006826320"/>
      </c:scatterChart>
      <c:valAx>
        <c:axId val="200683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6320"/>
        <c:crosses val="autoZero"/>
        <c:crossBetween val="midCat"/>
      </c:valAx>
      <c:valAx>
        <c:axId val="200682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8288"/>
        <c:axId val="2006826864"/>
      </c:scatterChart>
      <c:valAx>
        <c:axId val="200683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6864"/>
        <c:crosses val="autoZero"/>
        <c:crossBetween val="midCat"/>
      </c:valAx>
      <c:valAx>
        <c:axId val="200682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9040"/>
        <c:axId val="2006829584"/>
      </c:scatterChart>
      <c:valAx>
        <c:axId val="200682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9584"/>
        <c:crosses val="autoZero"/>
        <c:crossBetween val="midCat"/>
      </c:valAx>
      <c:valAx>
        <c:axId val="200682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3056"/>
        <c:axId val="2006832304"/>
      </c:scatterChart>
      <c:valAx>
        <c:axId val="200682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2304"/>
        <c:crosses val="autoZero"/>
        <c:crossBetween val="midCat"/>
      </c:valAx>
      <c:valAx>
        <c:axId val="200683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0128"/>
        <c:axId val="2006823600"/>
      </c:scatterChart>
      <c:valAx>
        <c:axId val="200683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3600"/>
        <c:crosses val="autoZero"/>
        <c:crossBetween val="midCat"/>
      </c:valAx>
      <c:valAx>
        <c:axId val="200682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0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33184"/>
        <c:axId val="1741636448"/>
      </c:scatterChart>
      <c:valAx>
        <c:axId val="174163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6448"/>
        <c:crosses val="autoZero"/>
        <c:crossBetween val="midCat"/>
      </c:valAx>
      <c:valAx>
        <c:axId val="17416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0672"/>
        <c:axId val="2006831760"/>
      </c:scatterChart>
      <c:valAx>
        <c:axId val="2006830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1760"/>
        <c:crosses val="autoZero"/>
        <c:crossBetween val="midCat"/>
      </c:valAx>
      <c:valAx>
        <c:axId val="200683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0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3936"/>
        <c:axId val="2006836112"/>
      </c:scatterChart>
      <c:valAx>
        <c:axId val="200683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6112"/>
        <c:crosses val="autoZero"/>
        <c:crossBetween val="midCat"/>
      </c:valAx>
      <c:valAx>
        <c:axId val="200683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36656"/>
        <c:axId val="2008646048"/>
      </c:scatterChart>
      <c:valAx>
        <c:axId val="200683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6048"/>
        <c:crosses val="autoZero"/>
        <c:crossBetween val="midCat"/>
      </c:valAx>
      <c:valAx>
        <c:axId val="20086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6800"/>
        <c:axId val="2008634624"/>
      </c:scatterChart>
      <c:valAx>
        <c:axId val="20086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4624"/>
        <c:crosses val="autoZero"/>
        <c:crossBetween val="midCat"/>
      </c:valAx>
      <c:valAx>
        <c:axId val="20086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9520"/>
        <c:axId val="2008635168"/>
      </c:scatterChart>
      <c:valAx>
        <c:axId val="200863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5168"/>
        <c:crosses val="autoZero"/>
        <c:crossBetween val="midCat"/>
      </c:valAx>
      <c:valAx>
        <c:axId val="20086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7888"/>
        <c:axId val="2008644416"/>
      </c:scatterChart>
      <c:valAx>
        <c:axId val="20086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4416"/>
        <c:crosses val="autoZero"/>
        <c:crossBetween val="midCat"/>
      </c:valAx>
      <c:valAx>
        <c:axId val="200864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7344"/>
        <c:axId val="2008640064"/>
      </c:scatterChart>
      <c:valAx>
        <c:axId val="200863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0064"/>
        <c:crosses val="autoZero"/>
        <c:crossBetween val="midCat"/>
      </c:valAx>
      <c:valAx>
        <c:axId val="20086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8976"/>
        <c:axId val="2008640608"/>
      </c:scatterChart>
      <c:valAx>
        <c:axId val="200863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0608"/>
        <c:crosses val="autoZero"/>
        <c:crossBetween val="midCat"/>
      </c:valAx>
      <c:valAx>
        <c:axId val="20086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8432"/>
        <c:axId val="2008641152"/>
      </c:scatterChart>
      <c:valAx>
        <c:axId val="200863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1152"/>
        <c:crosses val="autoZero"/>
        <c:crossBetween val="midCat"/>
      </c:valAx>
      <c:valAx>
        <c:axId val="200864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41696"/>
        <c:axId val="2008647136"/>
      </c:scatterChart>
      <c:valAx>
        <c:axId val="20086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7136"/>
        <c:crosses val="autoZero"/>
        <c:crossBetween val="midCat"/>
      </c:valAx>
      <c:valAx>
        <c:axId val="20086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36992"/>
        <c:axId val="1741634272"/>
      </c:scatterChart>
      <c:valAx>
        <c:axId val="174163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4272"/>
        <c:crosses val="autoZero"/>
        <c:crossBetween val="midCat"/>
      </c:valAx>
      <c:valAx>
        <c:axId val="174163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44960"/>
        <c:axId val="2008645504"/>
      </c:scatterChart>
      <c:valAx>
        <c:axId val="200864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5504"/>
        <c:crosses val="autoZero"/>
        <c:crossBetween val="midCat"/>
      </c:valAx>
      <c:valAx>
        <c:axId val="200864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2395562366844E-2"/>
          <c:y val="0.10959118038342176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471686320229446"/>
                  <c:y val="-7.27123039032555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42784"/>
        <c:axId val="2008642240"/>
      </c:scatterChart>
      <c:valAx>
        <c:axId val="2008642784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2240"/>
        <c:crosses val="autoZero"/>
        <c:crossBetween val="midCat"/>
        <c:majorUnit val="1000"/>
        <c:minorUnit val="10"/>
      </c:valAx>
      <c:valAx>
        <c:axId val="2008642240"/>
        <c:scaling>
          <c:orientation val="minMax"/>
          <c:max val="150"/>
          <c:min val="7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2784"/>
        <c:crosses val="autoZero"/>
        <c:crossBetween val="midCat"/>
        <c:majorUnit val="10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 '!$B$110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 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 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 '!$A$111:$A$115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 '!$B$111:$B$115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34080"/>
        <c:axId val="2008643328"/>
      </c:scatterChart>
      <c:valAx>
        <c:axId val="2008634080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3328"/>
        <c:crossesAt val="0"/>
        <c:crossBetween val="midCat"/>
        <c:majorUnit val="1000"/>
        <c:minorUnit val="10"/>
      </c:valAx>
      <c:valAx>
        <c:axId val="20086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34080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'RT03-F39'!$B$110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'RT03-F39'!$C$111:$C$115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'RT03-F39'!$A$111:$A$115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'RT03-F39'!$B$111:$B$115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643872"/>
        <c:axId val="2008646592"/>
      </c:scatterChart>
      <c:valAx>
        <c:axId val="2008643872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6592"/>
        <c:crossesAt val="0"/>
        <c:crossBetween val="midCat"/>
        <c:majorUnit val="1000"/>
        <c:minorUnit val="10"/>
      </c:valAx>
      <c:valAx>
        <c:axId val="20086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8643872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34816"/>
        <c:axId val="1741641888"/>
      </c:scatterChart>
      <c:valAx>
        <c:axId val="174163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41888"/>
        <c:crosses val="autoZero"/>
        <c:crossBetween val="midCat"/>
      </c:valAx>
      <c:valAx>
        <c:axId val="17416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4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42432"/>
        <c:axId val="1741645152"/>
      </c:scatterChart>
      <c:valAx>
        <c:axId val="174164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45152"/>
        <c:crosses val="autoZero"/>
        <c:crossBetween val="midCat"/>
      </c:valAx>
      <c:valAx>
        <c:axId val="17416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42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45696"/>
        <c:axId val="1741632640"/>
      </c:scatterChart>
      <c:valAx>
        <c:axId val="174164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2640"/>
        <c:crosses val="autoZero"/>
        <c:crossBetween val="midCat"/>
      </c:valAx>
      <c:valAx>
        <c:axId val="17416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4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635360"/>
        <c:axId val="1741637536"/>
      </c:scatterChart>
      <c:valAx>
        <c:axId val="174163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7536"/>
        <c:crosses val="autoZero"/>
        <c:crossBetween val="midCat"/>
      </c:valAx>
      <c:valAx>
        <c:axId val="17416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163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4144"/>
        <c:axId val="2006831216"/>
      </c:scatterChart>
      <c:valAx>
        <c:axId val="200682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31216"/>
        <c:crosses val="autoZero"/>
        <c:crossBetween val="midCat"/>
      </c:valAx>
      <c:valAx>
        <c:axId val="20068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27952"/>
        <c:axId val="2006828496"/>
      </c:scatterChart>
      <c:valAx>
        <c:axId val="200682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8496"/>
        <c:crosses val="autoZero"/>
        <c:crossBetween val="midCat"/>
      </c:valAx>
      <c:valAx>
        <c:axId val="200682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0682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28" name="Gráfico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=""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=""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=""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=""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=""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=""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=""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=""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=""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=""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=""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=""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=""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=""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63</xdr:row>
      <xdr:rowOff>116498</xdr:rowOff>
    </xdr:from>
    <xdr:to>
      <xdr:col>5</xdr:col>
      <xdr:colOff>411549</xdr:colOff>
      <xdr:row>68</xdr:row>
      <xdr:rowOff>112482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260" y="13670573"/>
          <a:ext cx="2403739" cy="117708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154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117</xdr:row>
      <xdr:rowOff>0</xdr:rowOff>
    </xdr:from>
    <xdr:to>
      <xdr:col>5</xdr:col>
      <xdr:colOff>704024</xdr:colOff>
      <xdr:row>132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154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153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63</xdr:row>
      <xdr:rowOff>116498</xdr:rowOff>
    </xdr:from>
    <xdr:to>
      <xdr:col>5</xdr:col>
      <xdr:colOff>411549</xdr:colOff>
      <xdr:row>68</xdr:row>
      <xdr:rowOff>112481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785" y="13451498"/>
          <a:ext cx="2404472" cy="1177084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154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174" y="322516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117</xdr:row>
      <xdr:rowOff>0</xdr:rowOff>
    </xdr:from>
    <xdr:to>
      <xdr:col>5</xdr:col>
      <xdr:colOff>704024</xdr:colOff>
      <xdr:row>132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105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154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153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196"/>
    <col min="2" max="14" width="20.7109375" style="196" customWidth="1"/>
    <col min="15" max="16" width="20.7109375" style="198" customWidth="1"/>
    <col min="17" max="17" width="24.28515625" style="198" customWidth="1"/>
    <col min="18" max="26" width="20.7109375" style="198" customWidth="1"/>
    <col min="27" max="33" width="20.7109375" style="196" customWidth="1"/>
    <col min="34" max="34" width="19.85546875" style="196" bestFit="1" customWidth="1"/>
    <col min="35" max="38" width="15.85546875" style="196" bestFit="1" customWidth="1"/>
    <col min="39" max="43" width="16" style="196" customWidth="1"/>
    <col min="44" max="47" width="10.7109375" style="196" customWidth="1"/>
    <col min="48" max="48" width="16" style="196" bestFit="1" customWidth="1"/>
    <col min="49" max="49" width="15.85546875" style="196" bestFit="1" customWidth="1"/>
    <col min="50" max="50" width="20.7109375" style="196" bestFit="1" customWidth="1"/>
    <col min="51" max="51" width="15.85546875" style="196" bestFit="1" customWidth="1"/>
    <col min="52" max="52" width="15.7109375" style="196"/>
    <col min="53" max="53" width="20" style="196" customWidth="1"/>
    <col min="54" max="55" width="10.7109375" style="196" customWidth="1"/>
    <col min="56" max="16384" width="15.7109375" style="196"/>
  </cols>
  <sheetData>
    <row r="1" spans="2:83" ht="30" customHeight="1" x14ac:dyDescent="0.2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2:83" ht="30" customHeight="1" thickBo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83" ht="30" customHeight="1" x14ac:dyDescent="0.2">
      <c r="B3" s="197"/>
      <c r="C3" s="595" t="s">
        <v>156</v>
      </c>
      <c r="D3" s="596"/>
      <c r="E3" s="596"/>
      <c r="F3" s="596"/>
      <c r="G3" s="596"/>
      <c r="H3" s="596"/>
      <c r="I3" s="596"/>
      <c r="J3" s="596"/>
      <c r="K3" s="597"/>
      <c r="L3" s="197"/>
      <c r="M3" s="197"/>
    </row>
    <row r="4" spans="2:83" ht="30" customHeight="1" thickBot="1" x14ac:dyDescent="0.25">
      <c r="B4" s="197"/>
      <c r="C4" s="598"/>
      <c r="D4" s="599"/>
      <c r="E4" s="599"/>
      <c r="F4" s="599"/>
      <c r="G4" s="599"/>
      <c r="H4" s="599"/>
      <c r="I4" s="599"/>
      <c r="J4" s="599"/>
      <c r="K4" s="600"/>
      <c r="L4" s="197"/>
      <c r="M4" s="197"/>
    </row>
    <row r="5" spans="2:83" ht="30" customHeight="1" thickBot="1" x14ac:dyDescent="0.25">
      <c r="B5" s="197"/>
      <c r="C5" s="601" t="s">
        <v>157</v>
      </c>
      <c r="D5" s="603" t="s">
        <v>7</v>
      </c>
      <c r="E5" s="603" t="s">
        <v>158</v>
      </c>
      <c r="F5" s="603" t="s">
        <v>8</v>
      </c>
      <c r="G5" s="603" t="s">
        <v>76</v>
      </c>
      <c r="H5" s="603" t="s">
        <v>159</v>
      </c>
      <c r="I5" s="603" t="s">
        <v>83</v>
      </c>
      <c r="J5" s="603" t="s">
        <v>160</v>
      </c>
      <c r="K5" s="605" t="s">
        <v>161</v>
      </c>
      <c r="L5" s="607" t="s">
        <v>376</v>
      </c>
      <c r="M5" s="199"/>
    </row>
    <row r="6" spans="2:83" ht="30" customHeight="1" thickBot="1" x14ac:dyDescent="0.25">
      <c r="B6" s="197"/>
      <c r="C6" s="602"/>
      <c r="D6" s="604"/>
      <c r="E6" s="604"/>
      <c r="F6" s="604"/>
      <c r="G6" s="604"/>
      <c r="H6" s="604"/>
      <c r="I6" s="604"/>
      <c r="J6" s="604"/>
      <c r="K6" s="606"/>
      <c r="L6" s="608"/>
      <c r="M6" s="200" t="s">
        <v>377</v>
      </c>
      <c r="N6" s="200" t="s">
        <v>378</v>
      </c>
    </row>
    <row r="7" spans="2:83" ht="30" customHeight="1" thickBot="1" x14ac:dyDescent="0.25">
      <c r="B7" s="197"/>
      <c r="C7" s="201"/>
      <c r="D7" s="202"/>
      <c r="E7" s="202"/>
      <c r="F7" s="202"/>
      <c r="G7" s="202"/>
      <c r="H7" s="202"/>
      <c r="I7" s="202"/>
      <c r="J7" s="202"/>
      <c r="K7" s="203"/>
      <c r="L7" s="197"/>
      <c r="M7" s="200"/>
      <c r="N7" s="204"/>
    </row>
    <row r="8" spans="2:83" s="213" customFormat="1" ht="30" customHeight="1" thickBot="1" x14ac:dyDescent="0.25">
      <c r="B8" s="205"/>
      <c r="C8" s="206"/>
      <c r="D8" s="207"/>
      <c r="E8" s="208"/>
      <c r="F8" s="209"/>
      <c r="G8" s="209"/>
      <c r="H8" s="209"/>
      <c r="I8" s="208"/>
      <c r="J8" s="207"/>
      <c r="K8" s="210"/>
      <c r="L8" s="199"/>
      <c r="M8" s="211">
        <v>2</v>
      </c>
      <c r="N8" s="212">
        <v>0.95450000000000002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CD8" s="196"/>
      <c r="CE8" s="196"/>
    </row>
    <row r="9" spans="2:83" s="213" customFormat="1" ht="30" customHeight="1" thickBot="1" x14ac:dyDescent="0.25">
      <c r="B9" s="205"/>
      <c r="C9" s="214"/>
      <c r="D9" s="215"/>
      <c r="E9" s="215"/>
      <c r="F9" s="215"/>
      <c r="G9" s="215"/>
      <c r="H9" s="215"/>
      <c r="I9" s="215"/>
      <c r="J9" s="215"/>
      <c r="K9" s="216"/>
      <c r="L9" s="205"/>
      <c r="M9" s="197"/>
      <c r="N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CD9" s="196"/>
      <c r="CE9" s="196"/>
    </row>
    <row r="10" spans="2:83" s="213" customFormat="1" ht="30" customHeight="1" x14ac:dyDescent="0.2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197"/>
      <c r="N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CD10" s="196"/>
      <c r="CE10" s="196"/>
    </row>
    <row r="11" spans="2:83" s="213" customFormat="1" ht="30" customHeight="1" thickBot="1" x14ac:dyDescent="0.2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197"/>
      <c r="N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CD11" s="196"/>
      <c r="CE11" s="196"/>
    </row>
    <row r="12" spans="2:83" s="213" customFormat="1" ht="30" customHeight="1" x14ac:dyDescent="0.2">
      <c r="B12" s="205"/>
      <c r="C12" s="609" t="s">
        <v>278</v>
      </c>
      <c r="D12" s="610"/>
      <c r="E12" s="610"/>
      <c r="F12" s="610"/>
      <c r="G12" s="610"/>
      <c r="H12" s="610"/>
      <c r="I12" s="610"/>
      <c r="J12" s="610"/>
      <c r="K12" s="610"/>
      <c r="L12" s="611"/>
      <c r="M12" s="197"/>
      <c r="N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CD12" s="196"/>
      <c r="CE12" s="196"/>
    </row>
    <row r="13" spans="2:83" ht="30" customHeight="1" thickBot="1" x14ac:dyDescent="0.25">
      <c r="B13" s="205"/>
      <c r="C13" s="612"/>
      <c r="D13" s="613"/>
      <c r="E13" s="613"/>
      <c r="F13" s="613"/>
      <c r="G13" s="613"/>
      <c r="H13" s="613"/>
      <c r="I13" s="613"/>
      <c r="J13" s="613"/>
      <c r="K13" s="613"/>
      <c r="L13" s="614"/>
      <c r="M13" s="197"/>
    </row>
    <row r="14" spans="2:83" ht="30" customHeight="1" x14ac:dyDescent="0.2">
      <c r="B14" s="205"/>
      <c r="C14" s="615" t="s">
        <v>157</v>
      </c>
      <c r="D14" s="617" t="s">
        <v>3</v>
      </c>
      <c r="E14" s="617" t="s">
        <v>9</v>
      </c>
      <c r="F14" s="617" t="s">
        <v>1</v>
      </c>
      <c r="G14" s="619" t="s">
        <v>45</v>
      </c>
      <c r="H14" s="619" t="s">
        <v>48</v>
      </c>
      <c r="I14" s="617" t="s">
        <v>289</v>
      </c>
      <c r="J14" s="621" t="s">
        <v>67</v>
      </c>
      <c r="K14" s="623" t="s">
        <v>160</v>
      </c>
      <c r="L14" s="625" t="s">
        <v>219</v>
      </c>
      <c r="M14" s="197"/>
    </row>
    <row r="15" spans="2:83" ht="30" customHeight="1" thickBot="1" x14ac:dyDescent="0.25">
      <c r="B15" s="205"/>
      <c r="C15" s="616"/>
      <c r="D15" s="618"/>
      <c r="E15" s="618"/>
      <c r="F15" s="618"/>
      <c r="G15" s="620"/>
      <c r="H15" s="620"/>
      <c r="I15" s="618"/>
      <c r="J15" s="622"/>
      <c r="K15" s="624"/>
      <c r="L15" s="626"/>
      <c r="M15" s="197"/>
    </row>
    <row r="16" spans="2:83" ht="30" customHeight="1" x14ac:dyDescent="0.2">
      <c r="B16" s="205"/>
      <c r="C16" s="201"/>
      <c r="D16" s="202"/>
      <c r="E16" s="202"/>
      <c r="F16" s="202"/>
      <c r="G16" s="202"/>
      <c r="H16" s="202"/>
      <c r="I16" s="202"/>
      <c r="J16" s="202"/>
      <c r="K16" s="202"/>
      <c r="L16" s="203"/>
      <c r="M16" s="197"/>
    </row>
    <row r="17" spans="2:46" ht="30" customHeight="1" x14ac:dyDescent="0.2">
      <c r="B17" s="205"/>
      <c r="C17" s="206"/>
      <c r="D17" s="209"/>
      <c r="E17" s="209"/>
      <c r="F17" s="209"/>
      <c r="G17" s="209"/>
      <c r="H17" s="209"/>
      <c r="I17" s="209"/>
      <c r="J17" s="209"/>
      <c r="K17" s="209"/>
      <c r="L17" s="217"/>
      <c r="M17" s="197"/>
    </row>
    <row r="18" spans="2:46" ht="30" customHeight="1" thickBot="1" x14ac:dyDescent="0.25">
      <c r="B18" s="205"/>
      <c r="C18" s="218"/>
      <c r="D18" s="219"/>
      <c r="E18" s="219"/>
      <c r="F18" s="219"/>
      <c r="G18" s="220"/>
      <c r="H18" s="220"/>
      <c r="I18" s="219"/>
      <c r="J18" s="219"/>
      <c r="K18" s="220"/>
      <c r="L18" s="221"/>
      <c r="M18" s="197"/>
    </row>
    <row r="19" spans="2:46" ht="30" customHeight="1" x14ac:dyDescent="0.2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97"/>
    </row>
    <row r="20" spans="2:46" ht="30" customHeight="1" x14ac:dyDescent="0.2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197"/>
      <c r="AS20" s="205"/>
      <c r="AT20" s="197"/>
    </row>
    <row r="21" spans="2:46" ht="30" customHeight="1" x14ac:dyDescent="0.2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197"/>
      <c r="AS21" s="205"/>
      <c r="AT21" s="197"/>
    </row>
    <row r="22" spans="2:46" ht="30" customHeight="1" thickBot="1" x14ac:dyDescent="0.2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197"/>
      <c r="AS22" s="205"/>
      <c r="AT22" s="197"/>
    </row>
    <row r="23" spans="2:46" ht="30" customHeight="1" x14ac:dyDescent="0.2">
      <c r="B23" s="205"/>
      <c r="C23" s="595" t="s">
        <v>285</v>
      </c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7"/>
      <c r="AS23" s="205"/>
      <c r="AT23" s="197"/>
    </row>
    <row r="24" spans="2:46" ht="30" customHeight="1" thickBot="1" x14ac:dyDescent="0.25">
      <c r="B24" s="205"/>
      <c r="C24" s="598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600"/>
      <c r="AS24" s="205"/>
      <c r="AT24" s="197"/>
    </row>
    <row r="25" spans="2:46" ht="30" customHeight="1" x14ac:dyDescent="0.2">
      <c r="B25" s="205"/>
      <c r="C25" s="627" t="s">
        <v>162</v>
      </c>
      <c r="D25" s="629" t="s">
        <v>0</v>
      </c>
      <c r="E25" s="629" t="s">
        <v>3</v>
      </c>
      <c r="F25" s="629" t="s">
        <v>1</v>
      </c>
      <c r="G25" s="629" t="s">
        <v>163</v>
      </c>
      <c r="H25" s="629" t="s">
        <v>161</v>
      </c>
      <c r="I25" s="631" t="s">
        <v>83</v>
      </c>
      <c r="J25" s="631" t="s">
        <v>164</v>
      </c>
      <c r="K25" s="645" t="s">
        <v>286</v>
      </c>
      <c r="L25" s="645" t="s">
        <v>287</v>
      </c>
      <c r="M25" s="629" t="s">
        <v>165</v>
      </c>
      <c r="N25" s="645" t="s">
        <v>292</v>
      </c>
      <c r="O25" s="631" t="s">
        <v>166</v>
      </c>
      <c r="P25" s="631" t="s">
        <v>330</v>
      </c>
      <c r="Q25" s="633" t="s">
        <v>167</v>
      </c>
      <c r="R25" s="635" t="s">
        <v>116</v>
      </c>
      <c r="AS25" s="205"/>
    </row>
    <row r="26" spans="2:46" ht="30" customHeight="1" thickBot="1" x14ac:dyDescent="0.25">
      <c r="B26" s="205"/>
      <c r="C26" s="628"/>
      <c r="D26" s="630"/>
      <c r="E26" s="630"/>
      <c r="F26" s="630"/>
      <c r="G26" s="630"/>
      <c r="H26" s="630"/>
      <c r="I26" s="632"/>
      <c r="J26" s="632"/>
      <c r="K26" s="646"/>
      <c r="L26" s="646"/>
      <c r="M26" s="630"/>
      <c r="N26" s="646"/>
      <c r="O26" s="632"/>
      <c r="P26" s="632"/>
      <c r="Q26" s="634"/>
      <c r="R26" s="636"/>
      <c r="AS26" s="205"/>
    </row>
    <row r="27" spans="2:46" ht="30" customHeight="1" thickBot="1" x14ac:dyDescent="0.25">
      <c r="B27" s="205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4"/>
      <c r="R27" s="225"/>
      <c r="AS27" s="205"/>
    </row>
    <row r="28" spans="2:46" ht="30" customHeight="1" x14ac:dyDescent="0.2">
      <c r="B28" s="637" t="s">
        <v>295</v>
      </c>
      <c r="C28" s="226" t="s">
        <v>279</v>
      </c>
      <c r="D28" s="227" t="s">
        <v>284</v>
      </c>
      <c r="E28" s="227" t="s">
        <v>233</v>
      </c>
      <c r="F28" s="227" t="s">
        <v>234</v>
      </c>
      <c r="G28" s="227" t="s">
        <v>235</v>
      </c>
      <c r="H28" s="227" t="s">
        <v>290</v>
      </c>
      <c r="I28" s="228">
        <v>42683</v>
      </c>
      <c r="J28" s="227">
        <v>5</v>
      </c>
      <c r="K28" s="227">
        <v>5</v>
      </c>
      <c r="L28" s="227">
        <v>100</v>
      </c>
      <c r="M28" s="229">
        <v>0.09</v>
      </c>
      <c r="N28" s="230">
        <f>J28+(M28)/1000</f>
        <v>5.0000900000000001</v>
      </c>
      <c r="O28" s="227">
        <v>5.2999999999999999E-2</v>
      </c>
      <c r="P28" s="231">
        <v>0.88529999999999998</v>
      </c>
      <c r="Q28" s="227" t="s">
        <v>291</v>
      </c>
      <c r="R28" s="232" t="s">
        <v>297</v>
      </c>
      <c r="AS28" s="205"/>
    </row>
    <row r="29" spans="2:46" ht="30" customHeight="1" x14ac:dyDescent="0.2">
      <c r="B29" s="638"/>
      <c r="C29" s="233" t="s">
        <v>280</v>
      </c>
      <c r="D29" s="234" t="s">
        <v>284</v>
      </c>
      <c r="E29" s="234" t="s">
        <v>233</v>
      </c>
      <c r="F29" s="234" t="s">
        <v>234</v>
      </c>
      <c r="G29" s="234" t="s">
        <v>235</v>
      </c>
      <c r="H29" s="234" t="s">
        <v>290</v>
      </c>
      <c r="I29" s="235">
        <v>42683</v>
      </c>
      <c r="J29" s="234">
        <v>200</v>
      </c>
      <c r="K29" s="234">
        <v>10</v>
      </c>
      <c r="L29" s="234">
        <v>200</v>
      </c>
      <c r="M29" s="234">
        <v>0.05</v>
      </c>
      <c r="N29" s="236">
        <f t="shared" ref="N29:N32" si="0">J29+(M29)/1000</f>
        <v>200.00004999999999</v>
      </c>
      <c r="O29" s="237">
        <v>0.33</v>
      </c>
      <c r="P29" s="238">
        <v>0.88470000000000004</v>
      </c>
      <c r="Q29" s="234" t="s">
        <v>291</v>
      </c>
      <c r="R29" s="239" t="s">
        <v>297</v>
      </c>
      <c r="AS29" s="205"/>
    </row>
    <row r="30" spans="2:46" ht="30" customHeight="1" x14ac:dyDescent="0.2">
      <c r="B30" s="638"/>
      <c r="C30" s="233" t="s">
        <v>281</v>
      </c>
      <c r="D30" s="234" t="s">
        <v>284</v>
      </c>
      <c r="E30" s="234" t="s">
        <v>233</v>
      </c>
      <c r="F30" s="234" t="s">
        <v>234</v>
      </c>
      <c r="G30" s="234" t="s">
        <v>235</v>
      </c>
      <c r="H30" s="234" t="s">
        <v>290</v>
      </c>
      <c r="I30" s="235">
        <v>42683</v>
      </c>
      <c r="J30" s="234">
        <v>1000</v>
      </c>
      <c r="K30" s="234">
        <v>200</v>
      </c>
      <c r="L30" s="234">
        <v>500</v>
      </c>
      <c r="M30" s="234">
        <v>-0.2</v>
      </c>
      <c r="N30" s="240">
        <f t="shared" si="0"/>
        <v>999.99980000000005</v>
      </c>
      <c r="O30" s="241">
        <v>1.7</v>
      </c>
      <c r="P30" s="238">
        <v>0.88219999999999998</v>
      </c>
      <c r="Q30" s="234" t="s">
        <v>291</v>
      </c>
      <c r="R30" s="239" t="s">
        <v>297</v>
      </c>
      <c r="AS30" s="205"/>
    </row>
    <row r="31" spans="2:46" ht="30" customHeight="1" x14ac:dyDescent="0.2">
      <c r="B31" s="638"/>
      <c r="C31" s="233" t="s">
        <v>282</v>
      </c>
      <c r="D31" s="234" t="s">
        <v>284</v>
      </c>
      <c r="E31" s="234" t="s">
        <v>233</v>
      </c>
      <c r="F31" s="234" t="s">
        <v>234</v>
      </c>
      <c r="G31" s="234" t="s">
        <v>235</v>
      </c>
      <c r="H31" s="234" t="s">
        <v>290</v>
      </c>
      <c r="I31" s="235">
        <v>42683</v>
      </c>
      <c r="J31" s="234">
        <v>2000</v>
      </c>
      <c r="K31" s="234">
        <v>1000</v>
      </c>
      <c r="L31" s="234">
        <v>1000</v>
      </c>
      <c r="M31" s="234">
        <v>4.5999999999999996</v>
      </c>
      <c r="N31" s="240">
        <f t="shared" si="0"/>
        <v>2000.0046</v>
      </c>
      <c r="O31" s="234">
        <v>3.3</v>
      </c>
      <c r="P31" s="238">
        <v>0.88249999999999995</v>
      </c>
      <c r="Q31" s="234" t="s">
        <v>291</v>
      </c>
      <c r="R31" s="239" t="s">
        <v>297</v>
      </c>
      <c r="AS31" s="205"/>
    </row>
    <row r="32" spans="2:46" ht="30" customHeight="1" thickBot="1" x14ac:dyDescent="0.25">
      <c r="B32" s="639"/>
      <c r="C32" s="242" t="s">
        <v>283</v>
      </c>
      <c r="D32" s="243" t="s">
        <v>284</v>
      </c>
      <c r="E32" s="243" t="s">
        <v>233</v>
      </c>
      <c r="F32" s="243" t="s">
        <v>234</v>
      </c>
      <c r="G32" s="243" t="s">
        <v>235</v>
      </c>
      <c r="H32" s="243" t="s">
        <v>290</v>
      </c>
      <c r="I32" s="244">
        <v>42683</v>
      </c>
      <c r="J32" s="243">
        <v>5000</v>
      </c>
      <c r="K32" s="243">
        <v>2000</v>
      </c>
      <c r="L32" s="243">
        <v>2000</v>
      </c>
      <c r="M32" s="243">
        <v>4.8</v>
      </c>
      <c r="N32" s="245">
        <f t="shared" si="0"/>
        <v>5000.0047999999997</v>
      </c>
      <c r="O32" s="243">
        <v>8.3000000000000007</v>
      </c>
      <c r="P32" s="246">
        <v>0.88319999999999999</v>
      </c>
      <c r="Q32" s="243" t="s">
        <v>291</v>
      </c>
      <c r="R32" s="247" t="s">
        <v>297</v>
      </c>
      <c r="AS32" s="205"/>
    </row>
    <row r="33" spans="2:45" ht="30" customHeight="1" x14ac:dyDescent="0.2">
      <c r="B33" s="248"/>
      <c r="C33" s="226"/>
      <c r="D33" s="227"/>
      <c r="E33" s="227"/>
      <c r="F33" s="227"/>
      <c r="G33" s="227"/>
      <c r="H33" s="227"/>
      <c r="I33" s="228"/>
      <c r="J33" s="227"/>
      <c r="K33" s="227"/>
      <c r="L33" s="227"/>
      <c r="M33" s="227"/>
      <c r="N33" s="249"/>
      <c r="O33" s="227"/>
      <c r="P33" s="227"/>
      <c r="Q33" s="227"/>
      <c r="R33" s="232"/>
      <c r="AS33" s="205"/>
    </row>
    <row r="34" spans="2:45" ht="30" customHeight="1" x14ac:dyDescent="0.2">
      <c r="B34" s="248"/>
      <c r="C34" s="233"/>
      <c r="D34" s="234"/>
      <c r="E34" s="234"/>
      <c r="F34" s="234"/>
      <c r="G34" s="234"/>
      <c r="H34" s="234"/>
      <c r="I34" s="235"/>
      <c r="J34" s="234"/>
      <c r="K34" s="234"/>
      <c r="L34" s="234"/>
      <c r="M34" s="234"/>
      <c r="N34" s="240"/>
      <c r="O34" s="234"/>
      <c r="P34" s="234"/>
      <c r="Q34" s="234"/>
      <c r="R34" s="250"/>
      <c r="AS34" s="205"/>
    </row>
    <row r="35" spans="2:45" ht="30" customHeight="1" x14ac:dyDescent="0.2">
      <c r="B35" s="248"/>
      <c r="C35" s="233"/>
      <c r="D35" s="234"/>
      <c r="E35" s="234"/>
      <c r="F35" s="234"/>
      <c r="G35" s="234"/>
      <c r="H35" s="234"/>
      <c r="I35" s="235"/>
      <c r="J35" s="234"/>
      <c r="K35" s="234"/>
      <c r="L35" s="234"/>
      <c r="M35" s="234"/>
      <c r="N35" s="240"/>
      <c r="O35" s="234"/>
      <c r="P35" s="234"/>
      <c r="Q35" s="234"/>
      <c r="R35" s="250"/>
      <c r="AS35" s="205"/>
    </row>
    <row r="36" spans="2:45" ht="30" customHeight="1" thickBot="1" x14ac:dyDescent="0.25">
      <c r="B36" s="248"/>
      <c r="C36" s="251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4"/>
      <c r="O36" s="252"/>
      <c r="P36" s="252"/>
      <c r="Q36" s="252"/>
      <c r="R36" s="255"/>
      <c r="AS36" s="205"/>
    </row>
    <row r="37" spans="2:45" ht="30" customHeight="1" thickBot="1" x14ac:dyDescent="0.25">
      <c r="B37" s="205"/>
      <c r="C37" s="256"/>
      <c r="D37" s="257"/>
      <c r="E37" s="257"/>
      <c r="F37" s="257"/>
      <c r="G37" s="257"/>
      <c r="H37" s="257"/>
      <c r="I37" s="257"/>
      <c r="J37" s="257"/>
      <c r="M37" s="257"/>
      <c r="N37" s="257"/>
      <c r="O37" s="257"/>
      <c r="P37" s="258"/>
      <c r="Q37" s="257"/>
      <c r="R37" s="247"/>
      <c r="AS37" s="205"/>
    </row>
    <row r="38" spans="2:45" ht="30" customHeight="1" x14ac:dyDescent="0.2">
      <c r="B38" s="640" t="s">
        <v>299</v>
      </c>
      <c r="C38" s="226" t="s">
        <v>168</v>
      </c>
      <c r="D38" s="227" t="s">
        <v>169</v>
      </c>
      <c r="E38" s="227" t="s">
        <v>152</v>
      </c>
      <c r="F38" s="227">
        <v>27129360</v>
      </c>
      <c r="G38" s="227" t="s">
        <v>170</v>
      </c>
      <c r="H38" s="227">
        <v>1230</v>
      </c>
      <c r="I38" s="228">
        <v>42631</v>
      </c>
      <c r="J38" s="227">
        <v>1</v>
      </c>
      <c r="K38" s="227">
        <v>4000</v>
      </c>
      <c r="L38" s="227">
        <v>5000</v>
      </c>
      <c r="M38" s="227">
        <v>6.0000000000000001E-3</v>
      </c>
      <c r="N38" s="230">
        <f>J38+(M38)/1000</f>
        <v>1.000006</v>
      </c>
      <c r="O38" s="229">
        <v>0.01</v>
      </c>
      <c r="P38" s="249">
        <f>(0.34848*((752.597+755.909)/2)-0.009024*((44.5+51.2)/2)*EXP(0.0612*((19.7+20.8)/2)))/(273.15+((19.7+20.8)/2))</f>
        <v>0.89076687525312348</v>
      </c>
      <c r="Q38" s="227" t="s">
        <v>171</v>
      </c>
      <c r="R38" s="232" t="s">
        <v>298</v>
      </c>
      <c r="AS38" s="205"/>
    </row>
    <row r="39" spans="2:45" ht="30" customHeight="1" x14ac:dyDescent="0.2">
      <c r="B39" s="641"/>
      <c r="C39" s="233" t="s">
        <v>172</v>
      </c>
      <c r="D39" s="234" t="s">
        <v>169</v>
      </c>
      <c r="E39" s="234" t="s">
        <v>152</v>
      </c>
      <c r="F39" s="234">
        <v>27129360</v>
      </c>
      <c r="G39" s="234" t="s">
        <v>173</v>
      </c>
      <c r="H39" s="234">
        <v>1230</v>
      </c>
      <c r="I39" s="235">
        <v>42631</v>
      </c>
      <c r="J39" s="234">
        <v>2</v>
      </c>
      <c r="K39" s="234">
        <v>5000</v>
      </c>
      <c r="L39" s="259">
        <v>6000</v>
      </c>
      <c r="M39" s="234">
        <v>6.0000000000000001E-3</v>
      </c>
      <c r="N39" s="260">
        <f t="shared" ref="N39:N88" si="1">J39+(M39)/1000</f>
        <v>2.000006</v>
      </c>
      <c r="O39" s="234">
        <v>1.2E-2</v>
      </c>
      <c r="P39" s="240">
        <f t="shared" ref="P39:P54" si="2">(0.34848*((752.597+755.909)/2)-0.009024*((44.5+51.2)/2)*EXP(0.0612*((19.7+20.8)/2)))/(273.15+((19.7+20.8)/2))</f>
        <v>0.89076687525312348</v>
      </c>
      <c r="Q39" s="234" t="str">
        <f t="shared" ref="Q39:Q54" si="3">Q38</f>
        <v>M-001</v>
      </c>
      <c r="R39" s="250" t="s">
        <v>298</v>
      </c>
      <c r="AS39" s="205"/>
    </row>
    <row r="40" spans="2:45" ht="30" customHeight="1" x14ac:dyDescent="0.2">
      <c r="B40" s="641"/>
      <c r="C40" s="233" t="s">
        <v>174</v>
      </c>
      <c r="D40" s="234" t="s">
        <v>169</v>
      </c>
      <c r="E40" s="234" t="s">
        <v>152</v>
      </c>
      <c r="F40" s="234">
        <v>27129360</v>
      </c>
      <c r="G40" s="234" t="s">
        <v>175</v>
      </c>
      <c r="H40" s="234">
        <v>1230</v>
      </c>
      <c r="I40" s="235">
        <v>42631</v>
      </c>
      <c r="J40" s="234">
        <v>2</v>
      </c>
      <c r="K40" s="234">
        <v>10000</v>
      </c>
      <c r="L40" s="259">
        <v>7000</v>
      </c>
      <c r="M40" s="234">
        <v>1.2999999999999999E-2</v>
      </c>
      <c r="N40" s="260">
        <f t="shared" si="1"/>
        <v>2.000013</v>
      </c>
      <c r="O40" s="234">
        <v>1.2E-2</v>
      </c>
      <c r="P40" s="240">
        <f t="shared" si="2"/>
        <v>0.89076687525312348</v>
      </c>
      <c r="Q40" s="234" t="str">
        <f t="shared" si="3"/>
        <v>M-001</v>
      </c>
      <c r="R40" s="250" t="s">
        <v>298</v>
      </c>
      <c r="AS40" s="205"/>
    </row>
    <row r="41" spans="2:45" ht="30" customHeight="1" x14ac:dyDescent="0.2">
      <c r="B41" s="641"/>
      <c r="C41" s="233" t="s">
        <v>176</v>
      </c>
      <c r="D41" s="234" t="s">
        <v>169</v>
      </c>
      <c r="E41" s="234" t="s">
        <v>152</v>
      </c>
      <c r="F41" s="234">
        <v>27129360</v>
      </c>
      <c r="G41" s="234" t="s">
        <v>177</v>
      </c>
      <c r="H41" s="234">
        <v>1230</v>
      </c>
      <c r="I41" s="235">
        <v>42631</v>
      </c>
      <c r="J41" s="234">
        <v>5</v>
      </c>
      <c r="K41" s="234">
        <v>15000</v>
      </c>
      <c r="L41" s="259">
        <v>8000</v>
      </c>
      <c r="M41" s="261">
        <v>-2E-3</v>
      </c>
      <c r="N41" s="260">
        <f t="shared" si="1"/>
        <v>4.9999979999999997</v>
      </c>
      <c r="O41" s="234">
        <v>1.6E-2</v>
      </c>
      <c r="P41" s="240">
        <f t="shared" si="2"/>
        <v>0.89076687525312348</v>
      </c>
      <c r="Q41" s="234" t="str">
        <f t="shared" si="3"/>
        <v>M-001</v>
      </c>
      <c r="R41" s="250" t="s">
        <v>298</v>
      </c>
      <c r="AS41" s="205"/>
    </row>
    <row r="42" spans="2:45" ht="30" customHeight="1" x14ac:dyDescent="0.2">
      <c r="B42" s="641"/>
      <c r="C42" s="233" t="s">
        <v>178</v>
      </c>
      <c r="D42" s="234" t="s">
        <v>169</v>
      </c>
      <c r="E42" s="234" t="s">
        <v>152</v>
      </c>
      <c r="F42" s="234">
        <v>27129360</v>
      </c>
      <c r="G42" s="234" t="s">
        <v>179</v>
      </c>
      <c r="H42" s="234">
        <v>1230</v>
      </c>
      <c r="I42" s="235">
        <v>42631</v>
      </c>
      <c r="J42" s="234">
        <v>10</v>
      </c>
      <c r="K42" s="234">
        <v>20000</v>
      </c>
      <c r="L42" s="259">
        <v>8200</v>
      </c>
      <c r="M42" s="234">
        <v>4.0000000000000001E-3</v>
      </c>
      <c r="N42" s="260">
        <f t="shared" si="1"/>
        <v>10.000004000000001</v>
      </c>
      <c r="O42" s="261">
        <v>0.02</v>
      </c>
      <c r="P42" s="240">
        <f t="shared" si="2"/>
        <v>0.89076687525312348</v>
      </c>
      <c r="Q42" s="234" t="str">
        <f t="shared" si="3"/>
        <v>M-001</v>
      </c>
      <c r="R42" s="250" t="s">
        <v>298</v>
      </c>
      <c r="AS42" s="205"/>
    </row>
    <row r="43" spans="2:45" ht="30" customHeight="1" x14ac:dyDescent="0.2">
      <c r="B43" s="641"/>
      <c r="C43" s="233" t="s">
        <v>180</v>
      </c>
      <c r="D43" s="234" t="s">
        <v>169</v>
      </c>
      <c r="E43" s="234" t="s">
        <v>152</v>
      </c>
      <c r="F43" s="234">
        <v>27129360</v>
      </c>
      <c r="G43" s="234" t="s">
        <v>181</v>
      </c>
      <c r="H43" s="234">
        <v>1230</v>
      </c>
      <c r="I43" s="235">
        <v>42631</v>
      </c>
      <c r="J43" s="234">
        <v>20</v>
      </c>
      <c r="K43" s="234">
        <v>25000</v>
      </c>
      <c r="L43" s="259">
        <v>10000</v>
      </c>
      <c r="M43" s="234">
        <v>2.7E-2</v>
      </c>
      <c r="N43" s="260">
        <f t="shared" si="1"/>
        <v>20.000026999999999</v>
      </c>
      <c r="O43" s="234">
        <v>2.5000000000000001E-2</v>
      </c>
      <c r="P43" s="240">
        <f t="shared" si="2"/>
        <v>0.89076687525312348</v>
      </c>
      <c r="Q43" s="234" t="str">
        <f t="shared" si="3"/>
        <v>M-001</v>
      </c>
      <c r="R43" s="250" t="s">
        <v>298</v>
      </c>
      <c r="AS43" s="205"/>
    </row>
    <row r="44" spans="2:45" ht="30" customHeight="1" x14ac:dyDescent="0.2">
      <c r="B44" s="641"/>
      <c r="C44" s="233" t="s">
        <v>182</v>
      </c>
      <c r="D44" s="234" t="s">
        <v>169</v>
      </c>
      <c r="E44" s="234" t="s">
        <v>152</v>
      </c>
      <c r="F44" s="234">
        <v>27129360</v>
      </c>
      <c r="G44" s="234" t="s">
        <v>183</v>
      </c>
      <c r="H44" s="234">
        <v>1230</v>
      </c>
      <c r="I44" s="235">
        <v>42631</v>
      </c>
      <c r="J44" s="234">
        <v>20</v>
      </c>
      <c r="K44" s="234">
        <v>30000</v>
      </c>
      <c r="L44" s="259">
        <v>12000</v>
      </c>
      <c r="M44" s="234">
        <v>7.0000000000000001E-3</v>
      </c>
      <c r="N44" s="260">
        <f t="shared" si="1"/>
        <v>20.000007</v>
      </c>
      <c r="O44" s="234">
        <v>2.5000000000000001E-2</v>
      </c>
      <c r="P44" s="240">
        <f t="shared" si="2"/>
        <v>0.89076687525312348</v>
      </c>
      <c r="Q44" s="234" t="str">
        <f t="shared" si="3"/>
        <v>M-001</v>
      </c>
      <c r="R44" s="250" t="s">
        <v>298</v>
      </c>
      <c r="AS44" s="205"/>
    </row>
    <row r="45" spans="2:45" ht="30" customHeight="1" x14ac:dyDescent="0.2">
      <c r="B45" s="641"/>
      <c r="C45" s="233" t="s">
        <v>184</v>
      </c>
      <c r="D45" s="234" t="s">
        <v>169</v>
      </c>
      <c r="E45" s="234" t="s">
        <v>152</v>
      </c>
      <c r="F45" s="234">
        <v>27129360</v>
      </c>
      <c r="G45" s="234" t="s">
        <v>185</v>
      </c>
      <c r="H45" s="234">
        <v>1230</v>
      </c>
      <c r="I45" s="235">
        <v>42631</v>
      </c>
      <c r="J45" s="234">
        <v>50</v>
      </c>
      <c r="K45" s="234">
        <v>40000</v>
      </c>
      <c r="L45" s="259">
        <v>15000</v>
      </c>
      <c r="M45" s="234">
        <v>0.03</v>
      </c>
      <c r="N45" s="236">
        <f t="shared" si="1"/>
        <v>50.000030000000002</v>
      </c>
      <c r="O45" s="234">
        <v>0.03</v>
      </c>
      <c r="P45" s="240">
        <f t="shared" si="2"/>
        <v>0.89076687525312348</v>
      </c>
      <c r="Q45" s="234" t="str">
        <f t="shared" si="3"/>
        <v>M-001</v>
      </c>
      <c r="R45" s="250" t="s">
        <v>298</v>
      </c>
      <c r="AS45" s="205"/>
    </row>
    <row r="46" spans="2:45" ht="30" customHeight="1" x14ac:dyDescent="0.2">
      <c r="B46" s="641"/>
      <c r="C46" s="233" t="s">
        <v>186</v>
      </c>
      <c r="D46" s="234" t="s">
        <v>169</v>
      </c>
      <c r="E46" s="234" t="s">
        <v>152</v>
      </c>
      <c r="F46" s="234">
        <v>27129360</v>
      </c>
      <c r="G46" s="234" t="s">
        <v>187</v>
      </c>
      <c r="H46" s="234">
        <v>1230</v>
      </c>
      <c r="I46" s="235">
        <v>42631</v>
      </c>
      <c r="J46" s="234">
        <v>100</v>
      </c>
      <c r="K46" s="262"/>
      <c r="L46" s="263">
        <v>20000</v>
      </c>
      <c r="M46" s="234">
        <v>0.06</v>
      </c>
      <c r="N46" s="236">
        <f t="shared" si="1"/>
        <v>100.00006</v>
      </c>
      <c r="O46" s="234">
        <v>0.05</v>
      </c>
      <c r="P46" s="240">
        <f t="shared" si="2"/>
        <v>0.89076687525312348</v>
      </c>
      <c r="Q46" s="234" t="str">
        <f t="shared" si="3"/>
        <v>M-001</v>
      </c>
      <c r="R46" s="250" t="s">
        <v>298</v>
      </c>
      <c r="AS46" s="205"/>
    </row>
    <row r="47" spans="2:45" ht="30" customHeight="1" x14ac:dyDescent="0.2">
      <c r="B47" s="641"/>
      <c r="C47" s="233" t="s">
        <v>188</v>
      </c>
      <c r="D47" s="234" t="s">
        <v>169</v>
      </c>
      <c r="E47" s="234" t="s">
        <v>152</v>
      </c>
      <c r="F47" s="234">
        <v>27129360</v>
      </c>
      <c r="G47" s="234" t="s">
        <v>189</v>
      </c>
      <c r="H47" s="234">
        <v>1230</v>
      </c>
      <c r="I47" s="235">
        <v>42631</v>
      </c>
      <c r="J47" s="234">
        <v>200</v>
      </c>
      <c r="K47" s="262"/>
      <c r="L47" s="263">
        <v>25000</v>
      </c>
      <c r="M47" s="234">
        <v>-0.06</v>
      </c>
      <c r="N47" s="236">
        <f t="shared" si="1"/>
        <v>199.99994000000001</v>
      </c>
      <c r="O47" s="237">
        <v>0.1</v>
      </c>
      <c r="P47" s="240">
        <f t="shared" si="2"/>
        <v>0.89076687525312348</v>
      </c>
      <c r="Q47" s="234" t="str">
        <f t="shared" si="3"/>
        <v>M-001</v>
      </c>
      <c r="R47" s="250" t="s">
        <v>298</v>
      </c>
      <c r="AS47" s="205"/>
    </row>
    <row r="48" spans="2:45" ht="30" customHeight="1" x14ac:dyDescent="0.2">
      <c r="B48" s="641"/>
      <c r="C48" s="233" t="s">
        <v>190</v>
      </c>
      <c r="D48" s="234" t="s">
        <v>169</v>
      </c>
      <c r="E48" s="234" t="s">
        <v>152</v>
      </c>
      <c r="F48" s="234">
        <v>27129360</v>
      </c>
      <c r="G48" s="234" t="s">
        <v>191</v>
      </c>
      <c r="H48" s="234">
        <v>1230</v>
      </c>
      <c r="I48" s="235">
        <v>42631</v>
      </c>
      <c r="J48" s="234">
        <v>200</v>
      </c>
      <c r="K48" s="262"/>
      <c r="L48" s="263">
        <v>30000</v>
      </c>
      <c r="M48" s="234">
        <v>0.16</v>
      </c>
      <c r="N48" s="236">
        <f t="shared" si="1"/>
        <v>200.00015999999999</v>
      </c>
      <c r="O48" s="237">
        <v>0.1</v>
      </c>
      <c r="P48" s="240">
        <f t="shared" si="2"/>
        <v>0.89076687525312348</v>
      </c>
      <c r="Q48" s="234" t="str">
        <f t="shared" si="3"/>
        <v>M-001</v>
      </c>
      <c r="R48" s="250" t="s">
        <v>298</v>
      </c>
      <c r="AS48" s="205"/>
    </row>
    <row r="49" spans="2:48" ht="30" customHeight="1" x14ac:dyDescent="0.2">
      <c r="B49" s="641"/>
      <c r="C49" s="233" t="s">
        <v>192</v>
      </c>
      <c r="D49" s="234" t="s">
        <v>169</v>
      </c>
      <c r="E49" s="234" t="s">
        <v>152</v>
      </c>
      <c r="F49" s="234">
        <v>27129360</v>
      </c>
      <c r="G49" s="234" t="s">
        <v>193</v>
      </c>
      <c r="H49" s="234">
        <v>1230</v>
      </c>
      <c r="I49" s="235">
        <v>42631</v>
      </c>
      <c r="J49" s="234">
        <v>500</v>
      </c>
      <c r="K49" s="262"/>
      <c r="L49" s="263">
        <v>35000</v>
      </c>
      <c r="M49" s="234">
        <v>0.35</v>
      </c>
      <c r="N49" s="236">
        <f t="shared" si="1"/>
        <v>500.00035000000003</v>
      </c>
      <c r="O49" s="234">
        <v>0.25</v>
      </c>
      <c r="P49" s="240">
        <f t="shared" si="2"/>
        <v>0.89076687525312348</v>
      </c>
      <c r="Q49" s="234" t="str">
        <f t="shared" si="3"/>
        <v>M-001</v>
      </c>
      <c r="R49" s="250" t="s">
        <v>298</v>
      </c>
      <c r="AS49" s="205"/>
    </row>
    <row r="50" spans="2:48" ht="30" customHeight="1" x14ac:dyDescent="0.2">
      <c r="B50" s="641"/>
      <c r="C50" s="233" t="s">
        <v>194</v>
      </c>
      <c r="D50" s="234" t="s">
        <v>169</v>
      </c>
      <c r="E50" s="234" t="s">
        <v>152</v>
      </c>
      <c r="F50" s="234">
        <v>27129360</v>
      </c>
      <c r="G50" s="234" t="s">
        <v>195</v>
      </c>
      <c r="H50" s="234">
        <v>1230</v>
      </c>
      <c r="I50" s="235">
        <v>42631</v>
      </c>
      <c r="J50" s="234">
        <v>1000</v>
      </c>
      <c r="K50" s="262"/>
      <c r="L50" s="263">
        <v>40000</v>
      </c>
      <c r="M50" s="234">
        <v>0.7</v>
      </c>
      <c r="N50" s="240">
        <f t="shared" si="1"/>
        <v>1000.0007000000001</v>
      </c>
      <c r="O50" s="234">
        <v>0.5</v>
      </c>
      <c r="P50" s="240">
        <f t="shared" si="2"/>
        <v>0.89076687525312348</v>
      </c>
      <c r="Q50" s="234" t="str">
        <f t="shared" si="3"/>
        <v>M-001</v>
      </c>
      <c r="R50" s="250" t="s">
        <v>298</v>
      </c>
      <c r="AS50" s="205"/>
    </row>
    <row r="51" spans="2:48" ht="30" customHeight="1" x14ac:dyDescent="0.2">
      <c r="B51" s="641"/>
      <c r="C51" s="233" t="s">
        <v>196</v>
      </c>
      <c r="D51" s="234" t="s">
        <v>169</v>
      </c>
      <c r="E51" s="234" t="s">
        <v>152</v>
      </c>
      <c r="F51" s="234">
        <v>27129360</v>
      </c>
      <c r="G51" s="234" t="s">
        <v>197</v>
      </c>
      <c r="H51" s="234">
        <v>1230</v>
      </c>
      <c r="I51" s="235">
        <v>42631</v>
      </c>
      <c r="J51" s="234">
        <v>2000</v>
      </c>
      <c r="K51" s="262"/>
      <c r="L51" s="263">
        <v>45000</v>
      </c>
      <c r="M51" s="234">
        <v>1.2</v>
      </c>
      <c r="N51" s="240">
        <f t="shared" si="1"/>
        <v>2000.0011999999999</v>
      </c>
      <c r="O51" s="241">
        <v>1</v>
      </c>
      <c r="P51" s="240">
        <f t="shared" si="2"/>
        <v>0.89076687525312348</v>
      </c>
      <c r="Q51" s="234" t="str">
        <f t="shared" si="3"/>
        <v>M-001</v>
      </c>
      <c r="R51" s="250" t="s">
        <v>298</v>
      </c>
      <c r="AS51" s="205"/>
    </row>
    <row r="52" spans="2:48" ht="30" customHeight="1" x14ac:dyDescent="0.2">
      <c r="B52" s="641"/>
      <c r="C52" s="233" t="s">
        <v>198</v>
      </c>
      <c r="D52" s="234" t="s">
        <v>169</v>
      </c>
      <c r="E52" s="234" t="s">
        <v>152</v>
      </c>
      <c r="F52" s="234">
        <v>27129360</v>
      </c>
      <c r="G52" s="234" t="s">
        <v>199</v>
      </c>
      <c r="H52" s="234">
        <v>1230</v>
      </c>
      <c r="I52" s="235">
        <v>42631</v>
      </c>
      <c r="J52" s="234">
        <v>2000</v>
      </c>
      <c r="K52" s="263"/>
      <c r="L52" s="263">
        <v>50000</v>
      </c>
      <c r="M52" s="234">
        <v>1.1000000000000001</v>
      </c>
      <c r="N52" s="240">
        <f t="shared" si="1"/>
        <v>2000.0011</v>
      </c>
      <c r="O52" s="241">
        <v>1</v>
      </c>
      <c r="P52" s="240">
        <f t="shared" si="2"/>
        <v>0.89076687525312348</v>
      </c>
      <c r="Q52" s="234" t="str">
        <f t="shared" si="3"/>
        <v>M-001</v>
      </c>
      <c r="R52" s="250" t="s">
        <v>298</v>
      </c>
      <c r="AS52" s="205"/>
    </row>
    <row r="53" spans="2:48" ht="30" customHeight="1" x14ac:dyDescent="0.2">
      <c r="B53" s="641"/>
      <c r="C53" s="233" t="s">
        <v>200</v>
      </c>
      <c r="D53" s="234" t="s">
        <v>169</v>
      </c>
      <c r="E53" s="234" t="s">
        <v>152</v>
      </c>
      <c r="F53" s="234">
        <v>27129360</v>
      </c>
      <c r="G53" s="234" t="s">
        <v>201</v>
      </c>
      <c r="H53" s="234">
        <v>1230</v>
      </c>
      <c r="I53" s="235">
        <v>42631</v>
      </c>
      <c r="J53" s="234">
        <v>5000</v>
      </c>
      <c r="K53" s="263"/>
      <c r="L53" s="262"/>
      <c r="M53" s="234">
        <v>3.7</v>
      </c>
      <c r="N53" s="240">
        <f t="shared" si="1"/>
        <v>5000.0037000000002</v>
      </c>
      <c r="O53" s="234">
        <v>2.5</v>
      </c>
      <c r="P53" s="240">
        <f t="shared" si="2"/>
        <v>0.89076687525312348</v>
      </c>
      <c r="Q53" s="234" t="str">
        <f t="shared" si="3"/>
        <v>M-001</v>
      </c>
      <c r="R53" s="250" t="s">
        <v>298</v>
      </c>
      <c r="AS53" s="205"/>
    </row>
    <row r="54" spans="2:48" ht="30" customHeight="1" thickBot="1" x14ac:dyDescent="0.25">
      <c r="B54" s="642"/>
      <c r="C54" s="251" t="s">
        <v>202</v>
      </c>
      <c r="D54" s="252" t="s">
        <v>169</v>
      </c>
      <c r="E54" s="252" t="s">
        <v>152</v>
      </c>
      <c r="F54" s="252">
        <v>27129360</v>
      </c>
      <c r="G54" s="252" t="s">
        <v>203</v>
      </c>
      <c r="H54" s="252">
        <v>1230</v>
      </c>
      <c r="I54" s="253">
        <v>42631</v>
      </c>
      <c r="J54" s="252">
        <v>10000</v>
      </c>
      <c r="K54" s="264"/>
      <c r="L54" s="265"/>
      <c r="M54" s="252">
        <v>8.6999999999999993</v>
      </c>
      <c r="N54" s="254">
        <f t="shared" si="1"/>
        <v>10000.0087</v>
      </c>
      <c r="O54" s="266">
        <v>5</v>
      </c>
      <c r="P54" s="254">
        <f t="shared" si="2"/>
        <v>0.89076687525312348</v>
      </c>
      <c r="Q54" s="252" t="str">
        <f t="shared" si="3"/>
        <v>M-001</v>
      </c>
      <c r="R54" s="255" t="s">
        <v>298</v>
      </c>
      <c r="AS54" s="205"/>
    </row>
    <row r="55" spans="2:48" ht="30" customHeight="1" x14ac:dyDescent="0.2">
      <c r="B55" s="643" t="s">
        <v>300</v>
      </c>
      <c r="C55" s="267" t="s">
        <v>204</v>
      </c>
      <c r="D55" s="268" t="s">
        <v>205</v>
      </c>
      <c r="E55" s="268" t="s">
        <v>303</v>
      </c>
      <c r="F55" s="268">
        <v>11119515</v>
      </c>
      <c r="G55" s="268">
        <v>1</v>
      </c>
      <c r="H55" s="268">
        <v>100405</v>
      </c>
      <c r="I55" s="269">
        <v>42615</v>
      </c>
      <c r="J55" s="268">
        <v>1</v>
      </c>
      <c r="K55" s="270"/>
      <c r="L55" s="271"/>
      <c r="M55" s="268">
        <v>0.04</v>
      </c>
      <c r="N55" s="272">
        <f t="shared" si="1"/>
        <v>1.00004</v>
      </c>
      <c r="O55" s="268">
        <v>0.03</v>
      </c>
      <c r="P55" s="273">
        <f>(0.34848*((750.3+756.2)/2)-0.009024*((43.6+60.2)/2)*EXP(0.0612*((19.1+21.1)/2)))/(273.15+((19.1+21.1)/2))</f>
        <v>0.88965063908070108</v>
      </c>
      <c r="Q55" s="268" t="s">
        <v>206</v>
      </c>
      <c r="R55" s="239" t="s">
        <v>298</v>
      </c>
      <c r="AS55" s="205"/>
      <c r="AT55" s="197"/>
      <c r="AU55" s="197"/>
    </row>
    <row r="56" spans="2:48" ht="30" customHeight="1" x14ac:dyDescent="0.2">
      <c r="B56" s="643"/>
      <c r="C56" s="233" t="s">
        <v>207</v>
      </c>
      <c r="D56" s="234" t="s">
        <v>205</v>
      </c>
      <c r="E56" s="234" t="s">
        <v>303</v>
      </c>
      <c r="F56" s="234">
        <v>11119515</v>
      </c>
      <c r="G56" s="234" t="s">
        <v>209</v>
      </c>
      <c r="H56" s="234">
        <v>100405</v>
      </c>
      <c r="I56" s="235">
        <f>I55</f>
        <v>42615</v>
      </c>
      <c r="J56" s="234">
        <v>2</v>
      </c>
      <c r="K56" s="263"/>
      <c r="L56" s="262"/>
      <c r="M56" s="234">
        <v>0.06</v>
      </c>
      <c r="N56" s="236">
        <f t="shared" si="1"/>
        <v>2.0000599999999999</v>
      </c>
      <c r="O56" s="234">
        <v>0.04</v>
      </c>
      <c r="P56" s="273">
        <f t="shared" ref="P56:P70" si="4">(0.34848*((750.3+756.2)/2)-0.009024*((43.6+60.2)/2)*EXP(0.0612*((19.1+21.1)/2)))/(273.15+((19.1+21.1)/2))</f>
        <v>0.88965063908070108</v>
      </c>
      <c r="Q56" s="234" t="str">
        <f t="shared" ref="Q56:Q70" si="5">Q55</f>
        <v>M-002</v>
      </c>
      <c r="R56" s="239" t="s">
        <v>298</v>
      </c>
      <c r="AS56" s="205"/>
      <c r="AT56" s="197"/>
      <c r="AU56" s="197"/>
    </row>
    <row r="57" spans="2:48" ht="30" customHeight="1" x14ac:dyDescent="0.2">
      <c r="B57" s="643"/>
      <c r="C57" s="233" t="s">
        <v>208</v>
      </c>
      <c r="D57" s="234" t="s">
        <v>205</v>
      </c>
      <c r="E57" s="234" t="s">
        <v>303</v>
      </c>
      <c r="F57" s="234">
        <v>11119515</v>
      </c>
      <c r="G57" s="234">
        <v>2</v>
      </c>
      <c r="H57" s="234">
        <v>100405</v>
      </c>
      <c r="I57" s="235">
        <f t="shared" ref="I57:I70" si="6">I56</f>
        <v>42615</v>
      </c>
      <c r="J57" s="234">
        <v>2</v>
      </c>
      <c r="K57" s="263"/>
      <c r="L57" s="262"/>
      <c r="M57" s="234">
        <v>0.04</v>
      </c>
      <c r="N57" s="236">
        <f t="shared" si="1"/>
        <v>2.0000399999999998</v>
      </c>
      <c r="O57" s="234">
        <v>0.04</v>
      </c>
      <c r="P57" s="273">
        <f t="shared" si="4"/>
        <v>0.88965063908070108</v>
      </c>
      <c r="Q57" s="234" t="str">
        <f t="shared" si="5"/>
        <v>M-002</v>
      </c>
      <c r="R57" s="239" t="s">
        <v>298</v>
      </c>
      <c r="AS57" s="205"/>
      <c r="AT57" s="197"/>
      <c r="AU57" s="197"/>
    </row>
    <row r="58" spans="2:48" ht="30" customHeight="1" x14ac:dyDescent="0.2">
      <c r="B58" s="643"/>
      <c r="C58" s="233" t="s">
        <v>210</v>
      </c>
      <c r="D58" s="234" t="s">
        <v>205</v>
      </c>
      <c r="E58" s="234" t="s">
        <v>303</v>
      </c>
      <c r="F58" s="234">
        <v>11119515</v>
      </c>
      <c r="G58" s="234">
        <v>5</v>
      </c>
      <c r="H58" s="234">
        <v>100405</v>
      </c>
      <c r="I58" s="235">
        <f t="shared" si="6"/>
        <v>42615</v>
      </c>
      <c r="J58" s="234">
        <v>5</v>
      </c>
      <c r="K58" s="263"/>
      <c r="L58" s="262"/>
      <c r="M58" s="237">
        <v>0</v>
      </c>
      <c r="N58" s="236">
        <f t="shared" si="1"/>
        <v>5</v>
      </c>
      <c r="O58" s="234">
        <v>0.05</v>
      </c>
      <c r="P58" s="273">
        <f t="shared" si="4"/>
        <v>0.88965063908070108</v>
      </c>
      <c r="Q58" s="234" t="str">
        <f t="shared" si="5"/>
        <v>M-002</v>
      </c>
      <c r="R58" s="239" t="s">
        <v>298</v>
      </c>
      <c r="AS58" s="205"/>
      <c r="AT58" s="197"/>
      <c r="AU58" s="197"/>
    </row>
    <row r="59" spans="2:48" ht="30" customHeight="1" x14ac:dyDescent="0.2">
      <c r="B59" s="643"/>
      <c r="C59" s="233" t="s">
        <v>212</v>
      </c>
      <c r="D59" s="234" t="s">
        <v>205</v>
      </c>
      <c r="E59" s="234" t="s">
        <v>303</v>
      </c>
      <c r="F59" s="234">
        <v>11119515</v>
      </c>
      <c r="G59" s="234">
        <v>10</v>
      </c>
      <c r="H59" s="234">
        <v>100405</v>
      </c>
      <c r="I59" s="235">
        <f t="shared" si="6"/>
        <v>42615</v>
      </c>
      <c r="J59" s="234">
        <v>10</v>
      </c>
      <c r="K59" s="263"/>
      <c r="L59" s="262"/>
      <c r="M59" s="234">
        <v>0.05</v>
      </c>
      <c r="N59" s="236">
        <f t="shared" si="1"/>
        <v>10.00005</v>
      </c>
      <c r="O59" s="234">
        <v>0.06</v>
      </c>
      <c r="P59" s="273">
        <f t="shared" si="4"/>
        <v>0.88965063908070108</v>
      </c>
      <c r="Q59" s="234" t="str">
        <f t="shared" si="5"/>
        <v>M-002</v>
      </c>
      <c r="R59" s="239" t="s">
        <v>298</v>
      </c>
      <c r="AS59" s="205"/>
      <c r="AT59" s="197"/>
      <c r="AU59" s="197"/>
    </row>
    <row r="60" spans="2:48" ht="30" customHeight="1" x14ac:dyDescent="0.2">
      <c r="B60" s="643"/>
      <c r="C60" s="233" t="s">
        <v>214</v>
      </c>
      <c r="D60" s="234" t="s">
        <v>205</v>
      </c>
      <c r="E60" s="234" t="s">
        <v>303</v>
      </c>
      <c r="F60" s="234">
        <v>11119515</v>
      </c>
      <c r="G60" s="234" t="s">
        <v>216</v>
      </c>
      <c r="H60" s="234">
        <v>100405</v>
      </c>
      <c r="I60" s="235">
        <f t="shared" si="6"/>
        <v>42615</v>
      </c>
      <c r="J60" s="234">
        <v>20</v>
      </c>
      <c r="K60" s="263"/>
      <c r="L60" s="262"/>
      <c r="M60" s="234">
        <v>7.0000000000000007E-2</v>
      </c>
      <c r="N60" s="236">
        <f t="shared" si="1"/>
        <v>20.000070000000001</v>
      </c>
      <c r="O60" s="234">
        <v>0.08</v>
      </c>
      <c r="P60" s="273">
        <f t="shared" si="4"/>
        <v>0.88965063908070108</v>
      </c>
      <c r="Q60" s="234" t="str">
        <f t="shared" si="5"/>
        <v>M-002</v>
      </c>
      <c r="R60" s="239" t="s">
        <v>298</v>
      </c>
      <c r="AS60" s="205"/>
      <c r="AT60" s="197"/>
      <c r="AU60" s="197"/>
    </row>
    <row r="61" spans="2:48" ht="30" customHeight="1" x14ac:dyDescent="0.2">
      <c r="B61" s="643"/>
      <c r="C61" s="233" t="s">
        <v>215</v>
      </c>
      <c r="D61" s="234" t="s">
        <v>205</v>
      </c>
      <c r="E61" s="234" t="s">
        <v>303</v>
      </c>
      <c r="F61" s="234">
        <v>11119515</v>
      </c>
      <c r="G61" s="234">
        <v>20</v>
      </c>
      <c r="H61" s="234">
        <v>100405</v>
      </c>
      <c r="I61" s="235">
        <f t="shared" si="6"/>
        <v>42615</v>
      </c>
      <c r="J61" s="234">
        <v>20</v>
      </c>
      <c r="K61" s="263"/>
      <c r="L61" s="262"/>
      <c r="M61" s="234">
        <v>0.08</v>
      </c>
      <c r="N61" s="236">
        <f t="shared" si="1"/>
        <v>20.000080000000001</v>
      </c>
      <c r="O61" s="234">
        <v>0.08</v>
      </c>
      <c r="P61" s="273">
        <f t="shared" si="4"/>
        <v>0.88965063908070108</v>
      </c>
      <c r="Q61" s="234" t="str">
        <f t="shared" si="5"/>
        <v>M-002</v>
      </c>
      <c r="R61" s="239" t="s">
        <v>298</v>
      </c>
      <c r="AS61" s="205"/>
      <c r="AT61" s="197"/>
      <c r="AU61" s="197"/>
    </row>
    <row r="62" spans="2:48" ht="30" customHeight="1" x14ac:dyDescent="0.2">
      <c r="B62" s="643"/>
      <c r="C62" s="233" t="s">
        <v>217</v>
      </c>
      <c r="D62" s="234" t="s">
        <v>205</v>
      </c>
      <c r="E62" s="234" t="s">
        <v>303</v>
      </c>
      <c r="F62" s="234">
        <v>11119515</v>
      </c>
      <c r="G62" s="234">
        <v>50</v>
      </c>
      <c r="H62" s="234">
        <v>100405</v>
      </c>
      <c r="I62" s="235">
        <f t="shared" si="6"/>
        <v>42615</v>
      </c>
      <c r="J62" s="234">
        <v>50</v>
      </c>
      <c r="K62" s="263"/>
      <c r="L62" s="262"/>
      <c r="M62" s="234">
        <v>0.19</v>
      </c>
      <c r="N62" s="236">
        <f t="shared" si="1"/>
        <v>50.000190000000003</v>
      </c>
      <c r="O62" s="237">
        <v>0.1</v>
      </c>
      <c r="P62" s="273">
        <f t="shared" si="4"/>
        <v>0.88965063908070108</v>
      </c>
      <c r="Q62" s="234" t="str">
        <f t="shared" si="5"/>
        <v>M-002</v>
      </c>
      <c r="R62" s="239" t="s">
        <v>298</v>
      </c>
      <c r="AS62" s="205"/>
      <c r="AT62" s="197"/>
      <c r="AU62" s="197"/>
    </row>
    <row r="63" spans="2:48" ht="30" customHeight="1" x14ac:dyDescent="0.2">
      <c r="B63" s="643"/>
      <c r="C63" s="233" t="s">
        <v>218</v>
      </c>
      <c r="D63" s="234" t="s">
        <v>205</v>
      </c>
      <c r="E63" s="234" t="s">
        <v>303</v>
      </c>
      <c r="F63" s="234">
        <v>11119515</v>
      </c>
      <c r="G63" s="234">
        <v>100</v>
      </c>
      <c r="H63" s="234">
        <v>100405</v>
      </c>
      <c r="I63" s="235">
        <f t="shared" si="6"/>
        <v>42615</v>
      </c>
      <c r="J63" s="234">
        <v>100</v>
      </c>
      <c r="K63" s="263"/>
      <c r="L63" s="262"/>
      <c r="M63" s="234">
        <v>0.13</v>
      </c>
      <c r="N63" s="236">
        <f t="shared" si="1"/>
        <v>100.00013</v>
      </c>
      <c r="O63" s="234">
        <v>0.16</v>
      </c>
      <c r="P63" s="273">
        <f t="shared" si="4"/>
        <v>0.88965063908070108</v>
      </c>
      <c r="Q63" s="234" t="str">
        <f t="shared" si="5"/>
        <v>M-002</v>
      </c>
      <c r="R63" s="239" t="s">
        <v>298</v>
      </c>
      <c r="AT63" s="205"/>
      <c r="AU63" s="197"/>
      <c r="AV63" s="197"/>
    </row>
    <row r="64" spans="2:48" ht="30" customHeight="1" x14ac:dyDescent="0.2">
      <c r="B64" s="643"/>
      <c r="C64" s="233" t="s">
        <v>220</v>
      </c>
      <c r="D64" s="234" t="s">
        <v>205</v>
      </c>
      <c r="E64" s="234" t="s">
        <v>303</v>
      </c>
      <c r="F64" s="234">
        <v>11119515</v>
      </c>
      <c r="G64" s="234" t="s">
        <v>222</v>
      </c>
      <c r="H64" s="234">
        <v>100405</v>
      </c>
      <c r="I64" s="235">
        <f t="shared" si="6"/>
        <v>42615</v>
      </c>
      <c r="J64" s="234">
        <v>200</v>
      </c>
      <c r="K64" s="263"/>
      <c r="L64" s="262"/>
      <c r="M64" s="234">
        <v>0.2</v>
      </c>
      <c r="N64" s="240">
        <f t="shared" si="1"/>
        <v>200.00020000000001</v>
      </c>
      <c r="O64" s="234">
        <v>0.3</v>
      </c>
      <c r="P64" s="273">
        <f t="shared" si="4"/>
        <v>0.88965063908070108</v>
      </c>
      <c r="Q64" s="234" t="str">
        <f t="shared" si="5"/>
        <v>M-002</v>
      </c>
      <c r="R64" s="239" t="s">
        <v>298</v>
      </c>
      <c r="AT64" s="205"/>
      <c r="AU64" s="197"/>
      <c r="AV64" s="197"/>
    </row>
    <row r="65" spans="2:50" ht="30" customHeight="1" x14ac:dyDescent="0.2">
      <c r="B65" s="643"/>
      <c r="C65" s="233" t="s">
        <v>221</v>
      </c>
      <c r="D65" s="234" t="s">
        <v>205</v>
      </c>
      <c r="E65" s="234" t="s">
        <v>303</v>
      </c>
      <c r="F65" s="234">
        <v>11119515</v>
      </c>
      <c r="G65" s="234">
        <v>200</v>
      </c>
      <c r="H65" s="234">
        <v>100405</v>
      </c>
      <c r="I65" s="235">
        <f t="shared" si="6"/>
        <v>42615</v>
      </c>
      <c r="J65" s="234">
        <v>200</v>
      </c>
      <c r="K65" s="263"/>
      <c r="L65" s="262"/>
      <c r="M65" s="234">
        <v>0.3</v>
      </c>
      <c r="N65" s="240">
        <f t="shared" si="1"/>
        <v>200.00030000000001</v>
      </c>
      <c r="O65" s="234">
        <v>0.3</v>
      </c>
      <c r="P65" s="273">
        <f t="shared" si="4"/>
        <v>0.88965063908070108</v>
      </c>
      <c r="Q65" s="234" t="str">
        <f t="shared" si="5"/>
        <v>M-002</v>
      </c>
      <c r="R65" s="239" t="s">
        <v>298</v>
      </c>
      <c r="AT65" s="205"/>
      <c r="AU65" s="197"/>
      <c r="AV65" s="197"/>
    </row>
    <row r="66" spans="2:50" ht="30" customHeight="1" x14ac:dyDescent="0.2">
      <c r="B66" s="643"/>
      <c r="C66" s="233" t="s">
        <v>223</v>
      </c>
      <c r="D66" s="234" t="s">
        <v>205</v>
      </c>
      <c r="E66" s="234" t="s">
        <v>303</v>
      </c>
      <c r="F66" s="234">
        <v>11119515</v>
      </c>
      <c r="G66" s="234">
        <v>500</v>
      </c>
      <c r="H66" s="234">
        <v>100405</v>
      </c>
      <c r="I66" s="235">
        <f t="shared" si="6"/>
        <v>42615</v>
      </c>
      <c r="J66" s="234">
        <v>500</v>
      </c>
      <c r="K66" s="263"/>
      <c r="L66" s="262"/>
      <c r="M66" s="234">
        <v>0.8</v>
      </c>
      <c r="N66" s="240">
        <f t="shared" si="1"/>
        <v>500.00080000000003</v>
      </c>
      <c r="O66" s="234">
        <v>0.8</v>
      </c>
      <c r="P66" s="273">
        <f t="shared" si="4"/>
        <v>0.88965063908070108</v>
      </c>
      <c r="Q66" s="234" t="str">
        <f t="shared" si="5"/>
        <v>M-002</v>
      </c>
      <c r="R66" s="239" t="s">
        <v>298</v>
      </c>
      <c r="AI66" s="274"/>
      <c r="AJ66" s="274"/>
      <c r="AK66" s="274"/>
      <c r="AQ66" s="275"/>
      <c r="AR66" s="275"/>
      <c r="AS66" s="205"/>
      <c r="AT66" s="205"/>
      <c r="AU66" s="197"/>
      <c r="AV66" s="197"/>
    </row>
    <row r="67" spans="2:50" ht="30" customHeight="1" x14ac:dyDescent="0.2">
      <c r="B67" s="643"/>
      <c r="C67" s="233" t="s">
        <v>224</v>
      </c>
      <c r="D67" s="234" t="s">
        <v>205</v>
      </c>
      <c r="E67" s="234" t="s">
        <v>303</v>
      </c>
      <c r="F67" s="234">
        <v>11119515</v>
      </c>
      <c r="G67" s="234">
        <v>1</v>
      </c>
      <c r="H67" s="234">
        <v>100405</v>
      </c>
      <c r="I67" s="235">
        <f t="shared" si="6"/>
        <v>42615</v>
      </c>
      <c r="J67" s="234">
        <v>1000</v>
      </c>
      <c r="K67" s="263"/>
      <c r="L67" s="263"/>
      <c r="M67" s="234">
        <v>1.9</v>
      </c>
      <c r="N67" s="240">
        <f t="shared" si="1"/>
        <v>1000.0019</v>
      </c>
      <c r="O67" s="234">
        <v>1.6</v>
      </c>
      <c r="P67" s="273">
        <f t="shared" si="4"/>
        <v>0.88965063908070108</v>
      </c>
      <c r="Q67" s="234" t="str">
        <f t="shared" si="5"/>
        <v>M-002</v>
      </c>
      <c r="R67" s="239" t="s">
        <v>298</v>
      </c>
      <c r="AI67" s="276"/>
      <c r="AJ67" s="276"/>
      <c r="AK67" s="276"/>
      <c r="AQ67" s="276"/>
      <c r="AR67" s="276"/>
      <c r="AS67" s="276"/>
      <c r="AT67" s="276"/>
      <c r="AU67" s="276"/>
      <c r="AV67" s="276"/>
      <c r="AW67" s="276"/>
      <c r="AX67" s="276"/>
    </row>
    <row r="68" spans="2:50" ht="30" customHeight="1" x14ac:dyDescent="0.2">
      <c r="B68" s="643"/>
      <c r="C68" s="233" t="s">
        <v>225</v>
      </c>
      <c r="D68" s="234" t="s">
        <v>205</v>
      </c>
      <c r="E68" s="234" t="s">
        <v>303</v>
      </c>
      <c r="F68" s="234">
        <v>11119515</v>
      </c>
      <c r="G68" s="234" t="s">
        <v>209</v>
      </c>
      <c r="H68" s="234">
        <v>100405</v>
      </c>
      <c r="I68" s="235">
        <f t="shared" si="6"/>
        <v>42615</v>
      </c>
      <c r="J68" s="234">
        <v>2000</v>
      </c>
      <c r="K68" s="263"/>
      <c r="L68" s="263"/>
      <c r="M68" s="241">
        <v>2.2000000000000002</v>
      </c>
      <c r="N68" s="240">
        <f t="shared" si="1"/>
        <v>2000.0021999999999</v>
      </c>
      <c r="O68" s="241">
        <v>3</v>
      </c>
      <c r="P68" s="273">
        <f t="shared" si="4"/>
        <v>0.88965063908070108</v>
      </c>
      <c r="Q68" s="234" t="str">
        <f t="shared" si="5"/>
        <v>M-002</v>
      </c>
      <c r="R68" s="239" t="s">
        <v>298</v>
      </c>
      <c r="AE68" s="276"/>
      <c r="AF68" s="276"/>
      <c r="AG68" s="276"/>
      <c r="AH68" s="276"/>
      <c r="AI68" s="276"/>
      <c r="AJ68" s="276"/>
      <c r="AK68" s="276"/>
      <c r="AQ68" s="276"/>
      <c r="AR68" s="276"/>
      <c r="AS68" s="276"/>
      <c r="AT68" s="276"/>
      <c r="AU68" s="276"/>
      <c r="AV68" s="276"/>
      <c r="AW68" s="276"/>
      <c r="AX68" s="276"/>
    </row>
    <row r="69" spans="2:50" ht="30" customHeight="1" x14ac:dyDescent="0.2">
      <c r="B69" s="643"/>
      <c r="C69" s="233" t="s">
        <v>226</v>
      </c>
      <c r="D69" s="234" t="s">
        <v>205</v>
      </c>
      <c r="E69" s="234" t="s">
        <v>303</v>
      </c>
      <c r="F69" s="234">
        <v>11119515</v>
      </c>
      <c r="G69" s="234">
        <v>2</v>
      </c>
      <c r="H69" s="234">
        <v>100405</v>
      </c>
      <c r="I69" s="235">
        <f t="shared" si="6"/>
        <v>42615</v>
      </c>
      <c r="J69" s="234">
        <v>2000</v>
      </c>
      <c r="K69" s="263"/>
      <c r="L69" s="263"/>
      <c r="M69" s="241">
        <v>2</v>
      </c>
      <c r="N69" s="240">
        <f t="shared" si="1"/>
        <v>2000.002</v>
      </c>
      <c r="O69" s="241">
        <v>3</v>
      </c>
      <c r="P69" s="273">
        <f t="shared" si="4"/>
        <v>0.88965063908070108</v>
      </c>
      <c r="Q69" s="234" t="str">
        <f t="shared" si="5"/>
        <v>M-002</v>
      </c>
      <c r="R69" s="239" t="s">
        <v>298</v>
      </c>
      <c r="S69" s="196"/>
      <c r="T69" s="196"/>
      <c r="U69" s="196"/>
      <c r="V69" s="196"/>
      <c r="W69" s="196"/>
      <c r="X69" s="19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Q69" s="276"/>
      <c r="AR69" s="276"/>
      <c r="AS69" s="276"/>
      <c r="AT69" s="276"/>
      <c r="AU69" s="276"/>
      <c r="AV69" s="276"/>
      <c r="AW69" s="276"/>
      <c r="AX69" s="276"/>
    </row>
    <row r="70" spans="2:50" ht="30" customHeight="1" thickBot="1" x14ac:dyDescent="0.25">
      <c r="B70" s="644"/>
      <c r="C70" s="242" t="s">
        <v>227</v>
      </c>
      <c r="D70" s="243" t="s">
        <v>205</v>
      </c>
      <c r="E70" s="243" t="s">
        <v>303</v>
      </c>
      <c r="F70" s="243">
        <v>11119515</v>
      </c>
      <c r="G70" s="243">
        <v>5</v>
      </c>
      <c r="H70" s="243">
        <v>100405</v>
      </c>
      <c r="I70" s="244">
        <f t="shared" si="6"/>
        <v>42615</v>
      </c>
      <c r="J70" s="243">
        <v>5000</v>
      </c>
      <c r="K70" s="277"/>
      <c r="L70" s="277"/>
      <c r="M70" s="243">
        <v>5.9</v>
      </c>
      <c r="N70" s="278">
        <f t="shared" si="1"/>
        <v>5000.0059000000001</v>
      </c>
      <c r="O70" s="279">
        <v>8</v>
      </c>
      <c r="P70" s="258">
        <f t="shared" si="4"/>
        <v>0.88965063908070108</v>
      </c>
      <c r="Q70" s="243" t="str">
        <f t="shared" si="5"/>
        <v>M-002</v>
      </c>
      <c r="R70" s="247" t="s">
        <v>298</v>
      </c>
      <c r="S70" s="196"/>
      <c r="T70" s="196"/>
      <c r="U70" s="196"/>
      <c r="V70" s="196"/>
      <c r="W70" s="196"/>
      <c r="X70" s="19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Q70" s="276"/>
      <c r="AR70" s="276"/>
      <c r="AS70" s="276"/>
      <c r="AT70" s="276"/>
      <c r="AU70" s="276"/>
      <c r="AV70" s="276"/>
      <c r="AW70" s="276"/>
      <c r="AX70" s="276"/>
    </row>
    <row r="71" spans="2:50" ht="30" customHeight="1" thickBot="1" x14ac:dyDescent="0.25">
      <c r="B71" s="280" t="s">
        <v>302</v>
      </c>
      <c r="C71" s="226" t="s">
        <v>228</v>
      </c>
      <c r="D71" s="227" t="s">
        <v>205</v>
      </c>
      <c r="E71" s="227" t="s">
        <v>303</v>
      </c>
      <c r="F71" s="227">
        <v>11119467</v>
      </c>
      <c r="G71" s="227">
        <v>10</v>
      </c>
      <c r="H71" s="227">
        <v>1257</v>
      </c>
      <c r="I71" s="228">
        <v>42692</v>
      </c>
      <c r="J71" s="227">
        <v>10000</v>
      </c>
      <c r="K71" s="281"/>
      <c r="L71" s="281"/>
      <c r="M71" s="227">
        <v>8</v>
      </c>
      <c r="N71" s="229">
        <f t="shared" si="1"/>
        <v>10000.008</v>
      </c>
      <c r="O71" s="227">
        <v>16</v>
      </c>
      <c r="P71" s="231">
        <f>(0.34848*((750.712+752.294)/2)-0.009024*((52.2+56.3)/2)*EXP(0.0612*((20.3+20.4)/2)))/(273.15+((20.3+20.4)/2))</f>
        <v>0.88648336980110287</v>
      </c>
      <c r="Q71" s="227" t="s">
        <v>229</v>
      </c>
      <c r="R71" s="232" t="s">
        <v>298</v>
      </c>
      <c r="S71" s="196"/>
      <c r="T71" s="196"/>
      <c r="U71" s="196"/>
      <c r="V71" s="196"/>
      <c r="W71" s="196"/>
      <c r="X71" s="19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Q71" s="276"/>
      <c r="AR71" s="276"/>
      <c r="AS71" s="276"/>
      <c r="AT71" s="276"/>
      <c r="AU71" s="276"/>
      <c r="AV71" s="276"/>
      <c r="AW71" s="276"/>
      <c r="AX71" s="276"/>
    </row>
    <row r="72" spans="2:50" ht="30" customHeight="1" thickBot="1" x14ac:dyDescent="0.25">
      <c r="B72" s="280" t="s">
        <v>302</v>
      </c>
      <c r="C72" s="251" t="s">
        <v>230</v>
      </c>
      <c r="D72" s="252" t="s">
        <v>205</v>
      </c>
      <c r="E72" s="252" t="s">
        <v>303</v>
      </c>
      <c r="F72" s="252">
        <v>11119468</v>
      </c>
      <c r="G72" s="252">
        <v>20</v>
      </c>
      <c r="H72" s="252">
        <v>1258</v>
      </c>
      <c r="I72" s="253">
        <v>42695</v>
      </c>
      <c r="J72" s="252">
        <v>20000</v>
      </c>
      <c r="K72" s="264"/>
      <c r="L72" s="264"/>
      <c r="M72" s="252">
        <v>0</v>
      </c>
      <c r="N72" s="282">
        <f t="shared" si="1"/>
        <v>20000</v>
      </c>
      <c r="O72" s="252">
        <v>30</v>
      </c>
      <c r="P72" s="283">
        <f>(0.34848*((751.3+751.5)/2)-0.009024*((54.1+55.5)/2)*EXP(0.0612*((19.7+20.3)/2)))/(273.15+((19.7+20.3)/2))</f>
        <v>0.88748470987269767</v>
      </c>
      <c r="Q72" s="252" t="s">
        <v>231</v>
      </c>
      <c r="R72" s="284" t="s">
        <v>298</v>
      </c>
      <c r="S72" s="196"/>
      <c r="T72" s="196"/>
      <c r="U72" s="196"/>
      <c r="V72" s="196"/>
      <c r="W72" s="196"/>
      <c r="X72" s="19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Q72" s="276"/>
      <c r="AR72" s="276"/>
      <c r="AS72" s="276"/>
      <c r="AT72" s="276"/>
      <c r="AU72" s="276"/>
      <c r="AV72" s="276"/>
      <c r="AW72" s="276"/>
      <c r="AX72" s="276"/>
    </row>
    <row r="73" spans="2:50" ht="30" customHeight="1" x14ac:dyDescent="0.2">
      <c r="B73" s="657" t="s">
        <v>301</v>
      </c>
      <c r="C73" s="267" t="s">
        <v>232</v>
      </c>
      <c r="D73" s="268" t="s">
        <v>205</v>
      </c>
      <c r="E73" s="268" t="s">
        <v>233</v>
      </c>
      <c r="F73" s="268" t="s">
        <v>304</v>
      </c>
      <c r="G73" s="268" t="s">
        <v>235</v>
      </c>
      <c r="H73" s="268" t="s">
        <v>236</v>
      </c>
      <c r="I73" s="269">
        <v>42683</v>
      </c>
      <c r="J73" s="268">
        <v>1</v>
      </c>
      <c r="K73" s="270"/>
      <c r="L73" s="270"/>
      <c r="M73" s="285">
        <v>0.04</v>
      </c>
      <c r="N73" s="272">
        <f t="shared" si="1"/>
        <v>1.00004</v>
      </c>
      <c r="O73" s="268">
        <v>3.3000000000000002E-2</v>
      </c>
      <c r="P73" s="286">
        <v>0.88229999999999997</v>
      </c>
      <c r="Q73" s="268" t="s">
        <v>237</v>
      </c>
      <c r="R73" s="239" t="s">
        <v>297</v>
      </c>
      <c r="S73" s="196"/>
      <c r="T73" s="196"/>
      <c r="U73" s="196"/>
      <c r="V73" s="196"/>
      <c r="W73" s="196"/>
      <c r="X73" s="19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</row>
    <row r="74" spans="2:50" ht="30" customHeight="1" x14ac:dyDescent="0.2">
      <c r="B74" s="643"/>
      <c r="C74" s="233" t="s">
        <v>238</v>
      </c>
      <c r="D74" s="234" t="s">
        <v>205</v>
      </c>
      <c r="E74" s="234" t="s">
        <v>233</v>
      </c>
      <c r="F74" s="268" t="s">
        <v>304</v>
      </c>
      <c r="G74" s="234" t="s">
        <v>235</v>
      </c>
      <c r="H74" s="234" t="s">
        <v>236</v>
      </c>
      <c r="I74" s="269">
        <v>42683</v>
      </c>
      <c r="J74" s="234">
        <v>2</v>
      </c>
      <c r="K74" s="263"/>
      <c r="L74" s="263"/>
      <c r="M74" s="261">
        <v>0.04</v>
      </c>
      <c r="N74" s="236">
        <f t="shared" si="1"/>
        <v>2.0000399999999998</v>
      </c>
      <c r="O74" s="261">
        <v>0.04</v>
      </c>
      <c r="P74" s="287">
        <v>0.88200000000000001</v>
      </c>
      <c r="Q74" s="234" t="str">
        <f>Q73</f>
        <v>M-016</v>
      </c>
      <c r="R74" s="239" t="s">
        <v>297</v>
      </c>
      <c r="S74" s="196"/>
      <c r="T74" s="196"/>
      <c r="U74" s="196"/>
      <c r="V74" s="196"/>
      <c r="W74" s="196"/>
      <c r="X74" s="19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</row>
    <row r="75" spans="2:50" ht="30" customHeight="1" x14ac:dyDescent="0.2">
      <c r="B75" s="643"/>
      <c r="C75" s="233" t="s">
        <v>239</v>
      </c>
      <c r="D75" s="234" t="s">
        <v>205</v>
      </c>
      <c r="E75" s="234" t="s">
        <v>233</v>
      </c>
      <c r="F75" s="268" t="s">
        <v>304</v>
      </c>
      <c r="G75" s="234" t="s">
        <v>240</v>
      </c>
      <c r="H75" s="234" t="s">
        <v>236</v>
      </c>
      <c r="I75" s="269">
        <v>42683</v>
      </c>
      <c r="J75" s="234">
        <v>2</v>
      </c>
      <c r="K75" s="263"/>
      <c r="L75" s="263"/>
      <c r="M75" s="234">
        <v>5.3999999999999999E-2</v>
      </c>
      <c r="N75" s="260">
        <f t="shared" si="1"/>
        <v>2.000054</v>
      </c>
      <c r="O75" s="261">
        <v>0.04</v>
      </c>
      <c r="P75" s="238">
        <v>0.88190000000000002</v>
      </c>
      <c r="Q75" s="234" t="str">
        <f t="shared" ref="Q75:Q88" si="7">Q74</f>
        <v>M-016</v>
      </c>
      <c r="R75" s="239" t="s">
        <v>297</v>
      </c>
      <c r="U75" s="196"/>
      <c r="V75" s="196"/>
      <c r="W75" s="196"/>
      <c r="X75" s="19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</row>
    <row r="76" spans="2:50" ht="30" customHeight="1" x14ac:dyDescent="0.2">
      <c r="B76" s="643"/>
      <c r="C76" s="233" t="s">
        <v>241</v>
      </c>
      <c r="D76" s="234" t="s">
        <v>205</v>
      </c>
      <c r="E76" s="234" t="s">
        <v>233</v>
      </c>
      <c r="F76" s="268" t="s">
        <v>304</v>
      </c>
      <c r="G76" s="234" t="s">
        <v>235</v>
      </c>
      <c r="H76" s="234" t="s">
        <v>236</v>
      </c>
      <c r="I76" s="269">
        <v>42683</v>
      </c>
      <c r="J76" s="234">
        <v>5</v>
      </c>
      <c r="K76" s="263"/>
      <c r="L76" s="263"/>
      <c r="M76" s="234">
        <v>8.7999999999999995E-2</v>
      </c>
      <c r="N76" s="260">
        <f t="shared" si="1"/>
        <v>5.0000879999999999</v>
      </c>
      <c r="O76" s="234">
        <v>5.2999999999999999E-2</v>
      </c>
      <c r="P76" s="287">
        <v>0.88200000000000001</v>
      </c>
      <c r="Q76" s="234" t="str">
        <f t="shared" si="7"/>
        <v>M-016</v>
      </c>
      <c r="R76" s="239" t="s">
        <v>297</v>
      </c>
      <c r="U76" s="196"/>
      <c r="V76" s="196"/>
      <c r="W76" s="196"/>
      <c r="X76" s="19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</row>
    <row r="77" spans="2:50" ht="30" customHeight="1" x14ac:dyDescent="0.2">
      <c r="B77" s="643"/>
      <c r="C77" s="233" t="s">
        <v>242</v>
      </c>
      <c r="D77" s="234" t="s">
        <v>205</v>
      </c>
      <c r="E77" s="234" t="s">
        <v>233</v>
      </c>
      <c r="F77" s="268" t="s">
        <v>304</v>
      </c>
      <c r="G77" s="234" t="s">
        <v>235</v>
      </c>
      <c r="H77" s="234" t="s">
        <v>236</v>
      </c>
      <c r="I77" s="269">
        <v>42683</v>
      </c>
      <c r="J77" s="234">
        <v>10</v>
      </c>
      <c r="K77" s="263"/>
      <c r="L77" s="263"/>
      <c r="M77" s="234">
        <v>8.7999999999999995E-2</v>
      </c>
      <c r="N77" s="260">
        <f t="shared" si="1"/>
        <v>10.000088</v>
      </c>
      <c r="O77" s="234">
        <v>6.7000000000000004E-2</v>
      </c>
      <c r="P77" s="238">
        <v>0.8821</v>
      </c>
      <c r="Q77" s="234" t="str">
        <f t="shared" si="7"/>
        <v>M-016</v>
      </c>
      <c r="R77" s="239" t="s">
        <v>297</v>
      </c>
      <c r="U77" s="196"/>
      <c r="V77" s="196"/>
      <c r="W77" s="196"/>
      <c r="X77" s="196"/>
      <c r="Y77" s="196"/>
      <c r="Z77" s="19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</row>
    <row r="78" spans="2:50" ht="30" customHeight="1" x14ac:dyDescent="0.2">
      <c r="B78" s="643"/>
      <c r="C78" s="233" t="s">
        <v>243</v>
      </c>
      <c r="D78" s="234" t="s">
        <v>205</v>
      </c>
      <c r="E78" s="234" t="s">
        <v>233</v>
      </c>
      <c r="F78" s="268" t="s">
        <v>304</v>
      </c>
      <c r="G78" s="234" t="s">
        <v>235</v>
      </c>
      <c r="H78" s="234" t="s">
        <v>236</v>
      </c>
      <c r="I78" s="269">
        <v>42683</v>
      </c>
      <c r="J78" s="234">
        <v>20</v>
      </c>
      <c r="K78" s="263"/>
      <c r="L78" s="263"/>
      <c r="M78" s="234">
        <v>9.2999999999999999E-2</v>
      </c>
      <c r="N78" s="260">
        <f t="shared" si="1"/>
        <v>20.000093</v>
      </c>
      <c r="O78" s="234">
        <v>8.3000000000000004E-2</v>
      </c>
      <c r="P78" s="238">
        <v>0.88229999999999997</v>
      </c>
      <c r="Q78" s="234" t="str">
        <f t="shared" si="7"/>
        <v>M-016</v>
      </c>
      <c r="R78" s="239" t="s">
        <v>297</v>
      </c>
      <c r="U78" s="196"/>
      <c r="V78" s="196"/>
      <c r="W78" s="196"/>
      <c r="X78" s="196"/>
      <c r="Y78" s="196"/>
      <c r="Z78" s="19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</row>
    <row r="79" spans="2:50" ht="30" customHeight="1" x14ac:dyDescent="0.2">
      <c r="B79" s="643"/>
      <c r="C79" s="233" t="s">
        <v>244</v>
      </c>
      <c r="D79" s="234" t="s">
        <v>205</v>
      </c>
      <c r="E79" s="234" t="s">
        <v>233</v>
      </c>
      <c r="F79" s="268" t="s">
        <v>304</v>
      </c>
      <c r="G79" s="234" t="s">
        <v>240</v>
      </c>
      <c r="H79" s="234" t="s">
        <v>236</v>
      </c>
      <c r="I79" s="269">
        <v>42683</v>
      </c>
      <c r="J79" s="234">
        <v>20</v>
      </c>
      <c r="K79" s="263"/>
      <c r="L79" s="263"/>
      <c r="M79" s="234">
        <v>9.0999999999999998E-2</v>
      </c>
      <c r="N79" s="260">
        <f t="shared" si="1"/>
        <v>20.000091000000001</v>
      </c>
      <c r="O79" s="234">
        <v>8.3000000000000004E-2</v>
      </c>
      <c r="P79" s="238">
        <v>0.88239999999999996</v>
      </c>
      <c r="Q79" s="234" t="str">
        <f t="shared" si="7"/>
        <v>M-016</v>
      </c>
      <c r="R79" s="239" t="s">
        <v>297</v>
      </c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</row>
    <row r="80" spans="2:50" ht="30" customHeight="1" x14ac:dyDescent="0.2">
      <c r="B80" s="643"/>
      <c r="C80" s="233" t="s">
        <v>245</v>
      </c>
      <c r="D80" s="234" t="s">
        <v>205</v>
      </c>
      <c r="E80" s="234" t="s">
        <v>233</v>
      </c>
      <c r="F80" s="268" t="s">
        <v>304</v>
      </c>
      <c r="G80" s="234" t="s">
        <v>235</v>
      </c>
      <c r="H80" s="234" t="s">
        <v>236</v>
      </c>
      <c r="I80" s="269">
        <v>42683</v>
      </c>
      <c r="J80" s="234">
        <v>50</v>
      </c>
      <c r="K80" s="263"/>
      <c r="L80" s="263"/>
      <c r="M80" s="234">
        <v>0.08</v>
      </c>
      <c r="N80" s="236">
        <f t="shared" si="1"/>
        <v>50.000079999999997</v>
      </c>
      <c r="O80" s="237">
        <v>0.1</v>
      </c>
      <c r="P80" s="238">
        <v>0.88239999999999996</v>
      </c>
      <c r="Q80" s="234" t="str">
        <f t="shared" si="7"/>
        <v>M-016</v>
      </c>
      <c r="R80" s="239" t="s">
        <v>297</v>
      </c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</row>
    <row r="81" spans="2:50" ht="30" customHeight="1" x14ac:dyDescent="0.2">
      <c r="B81" s="643"/>
      <c r="C81" s="233" t="s">
        <v>246</v>
      </c>
      <c r="D81" s="234" t="s">
        <v>205</v>
      </c>
      <c r="E81" s="234" t="s">
        <v>233</v>
      </c>
      <c r="F81" s="268" t="s">
        <v>304</v>
      </c>
      <c r="G81" s="234" t="s">
        <v>235</v>
      </c>
      <c r="H81" s="234" t="s">
        <v>236</v>
      </c>
      <c r="I81" s="269">
        <v>42683</v>
      </c>
      <c r="J81" s="234">
        <v>100</v>
      </c>
      <c r="K81" s="263"/>
      <c r="L81" s="263"/>
      <c r="M81" s="234">
        <v>0.08</v>
      </c>
      <c r="N81" s="236">
        <f t="shared" si="1"/>
        <v>100.00008</v>
      </c>
      <c r="O81" s="234">
        <v>0.17</v>
      </c>
      <c r="P81" s="238">
        <v>0.88539999999999996</v>
      </c>
      <c r="Q81" s="234" t="str">
        <f t="shared" si="7"/>
        <v>M-016</v>
      </c>
      <c r="R81" s="239" t="s">
        <v>297</v>
      </c>
      <c r="U81" s="196"/>
      <c r="V81" s="196"/>
      <c r="W81" s="196"/>
      <c r="X81" s="196"/>
      <c r="Y81" s="196"/>
      <c r="Z81" s="19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V81" s="276"/>
      <c r="AW81" s="276"/>
      <c r="AX81" s="276"/>
    </row>
    <row r="82" spans="2:50" ht="30" customHeight="1" x14ac:dyDescent="0.2">
      <c r="B82" s="643"/>
      <c r="C82" s="233" t="s">
        <v>247</v>
      </c>
      <c r="D82" s="234" t="s">
        <v>205</v>
      </c>
      <c r="E82" s="234" t="s">
        <v>233</v>
      </c>
      <c r="F82" s="268" t="s">
        <v>304</v>
      </c>
      <c r="G82" s="234" t="s">
        <v>235</v>
      </c>
      <c r="H82" s="234" t="s">
        <v>236</v>
      </c>
      <c r="I82" s="269">
        <v>42683</v>
      </c>
      <c r="J82" s="234">
        <v>200</v>
      </c>
      <c r="K82" s="263"/>
      <c r="L82" s="263"/>
      <c r="M82" s="234">
        <v>0.28999999999999998</v>
      </c>
      <c r="N82" s="236">
        <f t="shared" si="1"/>
        <v>200.00029000000001</v>
      </c>
      <c r="O82" s="234">
        <v>0.33</v>
      </c>
      <c r="P82" s="238">
        <v>0.88519999999999999</v>
      </c>
      <c r="Q82" s="234" t="str">
        <f t="shared" si="7"/>
        <v>M-016</v>
      </c>
      <c r="R82" s="239" t="s">
        <v>297</v>
      </c>
      <c r="U82" s="196"/>
      <c r="V82" s="196"/>
      <c r="W82" s="196"/>
      <c r="X82" s="196"/>
      <c r="Y82" s="196"/>
      <c r="Z82" s="19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V82" s="276"/>
      <c r="AW82" s="276"/>
      <c r="AX82" s="276"/>
    </row>
    <row r="83" spans="2:50" ht="30" customHeight="1" x14ac:dyDescent="0.2">
      <c r="B83" s="643"/>
      <c r="C83" s="233" t="s">
        <v>248</v>
      </c>
      <c r="D83" s="234" t="s">
        <v>205</v>
      </c>
      <c r="E83" s="234" t="s">
        <v>233</v>
      </c>
      <c r="F83" s="268" t="s">
        <v>304</v>
      </c>
      <c r="G83" s="234" t="s">
        <v>240</v>
      </c>
      <c r="H83" s="234" t="s">
        <v>236</v>
      </c>
      <c r="I83" s="269">
        <v>42683</v>
      </c>
      <c r="J83" s="234">
        <v>200</v>
      </c>
      <c r="K83" s="263"/>
      <c r="L83" s="263"/>
      <c r="M83" s="234">
        <v>0.33</v>
      </c>
      <c r="N83" s="236">
        <f t="shared" si="1"/>
        <v>200.00032999999999</v>
      </c>
      <c r="O83" s="234">
        <v>0.33</v>
      </c>
      <c r="P83" s="287">
        <v>0.88500000000000001</v>
      </c>
      <c r="Q83" s="234" t="str">
        <f t="shared" si="7"/>
        <v>M-016</v>
      </c>
      <c r="R83" s="239" t="s">
        <v>297</v>
      </c>
      <c r="U83" s="196"/>
      <c r="V83" s="196"/>
      <c r="W83" s="196"/>
      <c r="X83" s="196"/>
      <c r="Y83" s="196"/>
      <c r="Z83" s="19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V83" s="276"/>
      <c r="AW83" s="276"/>
      <c r="AX83" s="276"/>
    </row>
    <row r="84" spans="2:50" ht="30" customHeight="1" x14ac:dyDescent="0.2">
      <c r="B84" s="643"/>
      <c r="C84" s="233" t="s">
        <v>249</v>
      </c>
      <c r="D84" s="234" t="s">
        <v>205</v>
      </c>
      <c r="E84" s="234" t="s">
        <v>233</v>
      </c>
      <c r="F84" s="268" t="s">
        <v>304</v>
      </c>
      <c r="G84" s="234" t="s">
        <v>235</v>
      </c>
      <c r="H84" s="234" t="s">
        <v>236</v>
      </c>
      <c r="I84" s="269">
        <v>42683</v>
      </c>
      <c r="J84" s="234">
        <v>500</v>
      </c>
      <c r="K84" s="263"/>
      <c r="L84" s="263"/>
      <c r="M84" s="234">
        <v>0.94</v>
      </c>
      <c r="N84" s="236">
        <f t="shared" si="1"/>
        <v>500.00094000000001</v>
      </c>
      <c r="O84" s="234">
        <v>0.83</v>
      </c>
      <c r="P84" s="238">
        <v>0.88539999999999996</v>
      </c>
      <c r="Q84" s="234" t="str">
        <f t="shared" si="7"/>
        <v>M-016</v>
      </c>
      <c r="R84" s="239" t="s">
        <v>297</v>
      </c>
      <c r="S84" s="196"/>
      <c r="T84" s="196"/>
      <c r="U84" s="196"/>
      <c r="V84" s="196"/>
      <c r="W84" s="196"/>
      <c r="X84" s="196"/>
      <c r="Y84" s="196"/>
      <c r="Z84" s="19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V84" s="276"/>
      <c r="AW84" s="276"/>
      <c r="AX84" s="276"/>
    </row>
    <row r="85" spans="2:50" ht="30" customHeight="1" x14ac:dyDescent="0.2">
      <c r="B85" s="643"/>
      <c r="C85" s="233" t="s">
        <v>250</v>
      </c>
      <c r="D85" s="234" t="s">
        <v>205</v>
      </c>
      <c r="E85" s="234" t="s">
        <v>233</v>
      </c>
      <c r="F85" s="268" t="s">
        <v>304</v>
      </c>
      <c r="G85" s="234" t="s">
        <v>235</v>
      </c>
      <c r="H85" s="234" t="s">
        <v>236</v>
      </c>
      <c r="I85" s="269">
        <v>42683</v>
      </c>
      <c r="J85" s="234">
        <v>1000</v>
      </c>
      <c r="K85" s="263"/>
      <c r="L85" s="263"/>
      <c r="M85" s="241">
        <v>0</v>
      </c>
      <c r="N85" s="240">
        <f t="shared" si="1"/>
        <v>1000</v>
      </c>
      <c r="O85" s="234">
        <v>1.7</v>
      </c>
      <c r="P85" s="238">
        <v>0.88449999999999995</v>
      </c>
      <c r="Q85" s="234" t="str">
        <f t="shared" si="7"/>
        <v>M-016</v>
      </c>
      <c r="R85" s="239" t="s">
        <v>297</v>
      </c>
      <c r="S85" s="196"/>
      <c r="T85" s="196"/>
      <c r="U85" s="196"/>
      <c r="V85" s="196"/>
      <c r="W85" s="196"/>
      <c r="X85" s="196"/>
      <c r="Y85" s="196"/>
      <c r="Z85" s="19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V85" s="276"/>
      <c r="AW85" s="276"/>
      <c r="AX85" s="276"/>
    </row>
    <row r="86" spans="2:50" ht="30" customHeight="1" x14ac:dyDescent="0.2">
      <c r="B86" s="643"/>
      <c r="C86" s="233" t="s">
        <v>251</v>
      </c>
      <c r="D86" s="234" t="s">
        <v>205</v>
      </c>
      <c r="E86" s="234" t="s">
        <v>233</v>
      </c>
      <c r="F86" s="268" t="s">
        <v>304</v>
      </c>
      <c r="G86" s="234" t="s">
        <v>235</v>
      </c>
      <c r="H86" s="234" t="s">
        <v>236</v>
      </c>
      <c r="I86" s="269">
        <v>42683</v>
      </c>
      <c r="J86" s="234">
        <v>2000</v>
      </c>
      <c r="K86" s="263"/>
      <c r="L86" s="263"/>
      <c r="M86" s="241">
        <v>3</v>
      </c>
      <c r="N86" s="240">
        <f t="shared" si="1"/>
        <v>2000.0029999999999</v>
      </c>
      <c r="O86" s="234">
        <v>3.3</v>
      </c>
      <c r="P86" s="238">
        <v>0.88429999999999997</v>
      </c>
      <c r="Q86" s="234" t="str">
        <f t="shared" si="7"/>
        <v>M-016</v>
      </c>
      <c r="R86" s="239" t="s">
        <v>297</v>
      </c>
      <c r="S86" s="196"/>
      <c r="T86" s="196"/>
      <c r="U86" s="196"/>
      <c r="V86" s="196"/>
      <c r="W86" s="196"/>
      <c r="X86" s="196"/>
      <c r="Y86" s="196"/>
      <c r="Z86" s="19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V86" s="276"/>
      <c r="AW86" s="276"/>
      <c r="AX86" s="276"/>
    </row>
    <row r="87" spans="2:50" ht="30" customHeight="1" x14ac:dyDescent="0.2">
      <c r="B87" s="643"/>
      <c r="C87" s="233" t="s">
        <v>252</v>
      </c>
      <c r="D87" s="234" t="s">
        <v>205</v>
      </c>
      <c r="E87" s="234" t="s">
        <v>233</v>
      </c>
      <c r="F87" s="268" t="s">
        <v>304</v>
      </c>
      <c r="G87" s="234" t="s">
        <v>240</v>
      </c>
      <c r="H87" s="234" t="s">
        <v>236</v>
      </c>
      <c r="I87" s="269">
        <v>42683</v>
      </c>
      <c r="J87" s="234">
        <v>2000</v>
      </c>
      <c r="K87" s="263"/>
      <c r="L87" s="263"/>
      <c r="M87" s="234">
        <v>3.9</v>
      </c>
      <c r="N87" s="240">
        <f t="shared" si="1"/>
        <v>2000.0038999999999</v>
      </c>
      <c r="O87" s="234">
        <v>3.3</v>
      </c>
      <c r="P87" s="238">
        <v>0.8841</v>
      </c>
      <c r="Q87" s="234" t="str">
        <f>Q86</f>
        <v>M-016</v>
      </c>
      <c r="R87" s="239" t="s">
        <v>297</v>
      </c>
      <c r="S87" s="196"/>
      <c r="T87" s="196"/>
      <c r="U87" s="19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V87" s="276"/>
      <c r="AW87" s="276"/>
      <c r="AX87" s="276"/>
    </row>
    <row r="88" spans="2:50" ht="30" customHeight="1" thickBot="1" x14ac:dyDescent="0.25">
      <c r="B88" s="644"/>
      <c r="C88" s="251" t="s">
        <v>253</v>
      </c>
      <c r="D88" s="252" t="s">
        <v>205</v>
      </c>
      <c r="E88" s="252" t="s">
        <v>233</v>
      </c>
      <c r="F88" s="268" t="s">
        <v>304</v>
      </c>
      <c r="G88" s="252" t="s">
        <v>235</v>
      </c>
      <c r="H88" s="252" t="s">
        <v>236</v>
      </c>
      <c r="I88" s="269">
        <v>42683</v>
      </c>
      <c r="J88" s="252">
        <v>5000</v>
      </c>
      <c r="K88" s="264"/>
      <c r="L88" s="264"/>
      <c r="M88" s="252">
        <v>7.7</v>
      </c>
      <c r="N88" s="254">
        <f t="shared" si="1"/>
        <v>5000.0077000000001</v>
      </c>
      <c r="O88" s="252">
        <v>8.3000000000000007</v>
      </c>
      <c r="P88" s="288">
        <v>0.88370000000000004</v>
      </c>
      <c r="Q88" s="252" t="str">
        <f t="shared" si="7"/>
        <v>M-016</v>
      </c>
      <c r="R88" s="239" t="s">
        <v>297</v>
      </c>
      <c r="U88" s="19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V88" s="276"/>
      <c r="AW88" s="276"/>
      <c r="AX88" s="276"/>
    </row>
    <row r="89" spans="2:50" ht="30" customHeight="1" x14ac:dyDescent="0.2">
      <c r="B89" s="289"/>
      <c r="U89" s="19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V89" s="276"/>
      <c r="AW89" s="276"/>
      <c r="AX89" s="276"/>
    </row>
    <row r="90" spans="2:50" ht="30" customHeight="1" x14ac:dyDescent="0.2">
      <c r="B90" s="289"/>
      <c r="U90" s="19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V90" s="276"/>
      <c r="AW90" s="276"/>
      <c r="AX90" s="276"/>
    </row>
    <row r="91" spans="2:50" ht="30" customHeight="1" x14ac:dyDescent="0.2">
      <c r="O91" s="196"/>
      <c r="P91" s="196"/>
      <c r="Q91" s="196"/>
      <c r="R91" s="196"/>
      <c r="S91" s="196"/>
      <c r="T91" s="196"/>
      <c r="U91" s="19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V91" s="276"/>
      <c r="AW91" s="276"/>
      <c r="AX91" s="276"/>
    </row>
    <row r="92" spans="2:50" ht="30" customHeight="1" x14ac:dyDescent="0.2">
      <c r="O92" s="196"/>
      <c r="P92" s="196"/>
      <c r="Q92" s="196"/>
      <c r="R92" s="196"/>
      <c r="S92" s="196"/>
      <c r="T92" s="196"/>
      <c r="U92" s="19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V92" s="276"/>
      <c r="AW92" s="276"/>
      <c r="AX92" s="276"/>
    </row>
    <row r="93" spans="2:50" ht="30" customHeight="1" x14ac:dyDescent="0.2">
      <c r="O93" s="196"/>
      <c r="P93" s="196"/>
      <c r="Q93" s="196"/>
      <c r="R93" s="196"/>
      <c r="S93" s="196"/>
      <c r="T93" s="196"/>
      <c r="U93" s="19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V93" s="276"/>
      <c r="AW93" s="276"/>
      <c r="AX93" s="276"/>
    </row>
    <row r="94" spans="2:50" ht="30" customHeight="1" x14ac:dyDescent="0.2">
      <c r="O94" s="196"/>
      <c r="P94" s="196"/>
      <c r="Q94" s="196"/>
      <c r="R94" s="196"/>
      <c r="S94" s="196"/>
      <c r="T94" s="196"/>
      <c r="U94" s="19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V94" s="276"/>
      <c r="AW94" s="276"/>
      <c r="AX94" s="276"/>
    </row>
    <row r="95" spans="2:50" ht="30" customHeight="1" thickBot="1" x14ac:dyDescent="0.25">
      <c r="O95" s="196"/>
      <c r="P95" s="196"/>
      <c r="Q95" s="196"/>
      <c r="R95" s="196"/>
      <c r="S95" s="196"/>
      <c r="T95" s="196"/>
      <c r="U95" s="19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V95" s="276"/>
      <c r="AW95" s="276"/>
      <c r="AX95" s="276"/>
    </row>
    <row r="96" spans="2:50" ht="30" customHeight="1" x14ac:dyDescent="0.2">
      <c r="B96" s="289"/>
      <c r="C96" s="658" t="s">
        <v>268</v>
      </c>
      <c r="D96" s="659"/>
      <c r="E96" s="659"/>
      <c r="F96" s="659"/>
      <c r="G96" s="659"/>
      <c r="H96" s="659"/>
      <c r="I96" s="659"/>
      <c r="J96" s="659"/>
      <c r="K96" s="659"/>
      <c r="L96" s="659"/>
      <c r="M96" s="659"/>
      <c r="N96" s="659"/>
      <c r="O96" s="659"/>
      <c r="P96" s="659"/>
      <c r="Q96" s="659"/>
      <c r="R96" s="659"/>
      <c r="S96" s="659"/>
      <c r="T96" s="660"/>
      <c r="U96" s="19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V96" s="276"/>
      <c r="AW96" s="276"/>
      <c r="AX96" s="276"/>
    </row>
    <row r="97" spans="1:50" ht="30" customHeight="1" thickBot="1" x14ac:dyDescent="0.25">
      <c r="B97" s="289"/>
      <c r="C97" s="661"/>
      <c r="D97" s="662"/>
      <c r="E97" s="662"/>
      <c r="F97" s="662"/>
      <c r="G97" s="662"/>
      <c r="H97" s="662"/>
      <c r="I97" s="662"/>
      <c r="J97" s="662"/>
      <c r="K97" s="662"/>
      <c r="L97" s="662"/>
      <c r="M97" s="662"/>
      <c r="N97" s="662"/>
      <c r="O97" s="662"/>
      <c r="P97" s="662"/>
      <c r="Q97" s="662"/>
      <c r="R97" s="662"/>
      <c r="S97" s="662"/>
      <c r="T97" s="663"/>
      <c r="U97" s="19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V97" s="276"/>
      <c r="AW97" s="276"/>
      <c r="AX97" s="276"/>
    </row>
    <row r="98" spans="1:50" ht="30" customHeight="1" thickBot="1" x14ac:dyDescent="0.25">
      <c r="B98" s="289"/>
      <c r="C98" s="664" t="s">
        <v>331</v>
      </c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6"/>
      <c r="U98" s="19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V98" s="276"/>
      <c r="AW98" s="276"/>
      <c r="AX98" s="276"/>
    </row>
    <row r="99" spans="1:50" ht="30" customHeight="1" x14ac:dyDescent="0.2">
      <c r="B99" s="289"/>
      <c r="C99" s="276"/>
      <c r="D99" s="667" t="s">
        <v>3</v>
      </c>
      <c r="E99" s="647" t="s">
        <v>269</v>
      </c>
      <c r="F99" s="647" t="s">
        <v>270</v>
      </c>
      <c r="G99" s="647" t="s">
        <v>271</v>
      </c>
      <c r="H99" s="647" t="s">
        <v>272</v>
      </c>
      <c r="I99" s="647" t="s">
        <v>273</v>
      </c>
      <c r="J99" s="647" t="s">
        <v>274</v>
      </c>
      <c r="K99" s="647" t="s">
        <v>275</v>
      </c>
      <c r="L99" s="649" t="s">
        <v>276</v>
      </c>
      <c r="O99" s="651" t="s">
        <v>349</v>
      </c>
      <c r="P99" s="652" t="s">
        <v>273</v>
      </c>
      <c r="Q99" s="653"/>
      <c r="R99" s="654"/>
      <c r="S99" s="655" t="s">
        <v>275</v>
      </c>
      <c r="T99" s="649" t="s">
        <v>276</v>
      </c>
      <c r="U99" s="19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V99" s="276"/>
      <c r="AW99" s="276"/>
      <c r="AX99" s="276"/>
    </row>
    <row r="100" spans="1:50" ht="30" customHeight="1" thickBot="1" x14ac:dyDescent="0.25">
      <c r="B100" s="289"/>
      <c r="C100" s="290"/>
      <c r="D100" s="668"/>
      <c r="E100" s="648"/>
      <c r="F100" s="648"/>
      <c r="G100" s="648"/>
      <c r="H100" s="648"/>
      <c r="I100" s="648"/>
      <c r="J100" s="648"/>
      <c r="K100" s="648"/>
      <c r="L100" s="650"/>
      <c r="O100" s="651"/>
      <c r="P100" s="652"/>
      <c r="Q100" s="653"/>
      <c r="R100" s="654"/>
      <c r="S100" s="656"/>
      <c r="T100" s="650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V100" s="276"/>
      <c r="AW100" s="276"/>
      <c r="AX100" s="276"/>
    </row>
    <row r="101" spans="1:50" ht="30" customHeight="1" thickBot="1" x14ac:dyDescent="0.25">
      <c r="A101" s="291"/>
      <c r="B101" s="292"/>
      <c r="C101" s="293"/>
      <c r="D101" s="293"/>
      <c r="E101" s="293"/>
      <c r="F101" s="293"/>
      <c r="G101" s="293"/>
      <c r="H101" s="293"/>
      <c r="I101" s="294"/>
      <c r="J101" s="294"/>
      <c r="K101" s="294"/>
      <c r="L101" s="294"/>
      <c r="O101" s="295"/>
      <c r="P101" s="295"/>
      <c r="Q101" s="295"/>
      <c r="R101" s="295"/>
      <c r="S101" s="296"/>
      <c r="T101" s="297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V101" s="276"/>
      <c r="AW101" s="276"/>
      <c r="AX101" s="276"/>
    </row>
    <row r="102" spans="1:50" ht="30" customHeight="1" x14ac:dyDescent="0.2">
      <c r="A102" s="694" t="s">
        <v>346</v>
      </c>
      <c r="B102" s="695"/>
      <c r="C102" s="700" t="s">
        <v>350</v>
      </c>
      <c r="D102" s="703" t="s">
        <v>277</v>
      </c>
      <c r="E102" s="706" t="s">
        <v>319</v>
      </c>
      <c r="F102" s="298">
        <v>18.2</v>
      </c>
      <c r="G102" s="299">
        <v>0.1</v>
      </c>
      <c r="H102" s="300">
        <v>0</v>
      </c>
      <c r="I102" s="709">
        <v>0.2</v>
      </c>
      <c r="J102" s="709">
        <v>1.96</v>
      </c>
      <c r="K102" s="669">
        <v>42580</v>
      </c>
      <c r="L102" s="672" t="s">
        <v>306</v>
      </c>
      <c r="O102" s="301"/>
      <c r="P102" s="302" t="s">
        <v>343</v>
      </c>
      <c r="Q102" s="303" t="s">
        <v>344</v>
      </c>
      <c r="R102" s="303" t="s">
        <v>345</v>
      </c>
      <c r="S102" s="675" t="s">
        <v>351</v>
      </c>
      <c r="T102" s="678" t="s">
        <v>352</v>
      </c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V102" s="276"/>
      <c r="AW102" s="276"/>
      <c r="AX102" s="276"/>
    </row>
    <row r="103" spans="1:50" ht="30" customHeight="1" x14ac:dyDescent="0.2">
      <c r="A103" s="696"/>
      <c r="B103" s="697"/>
      <c r="C103" s="701"/>
      <c r="D103" s="704"/>
      <c r="E103" s="707"/>
      <c r="F103" s="304">
        <v>20.100000000000001</v>
      </c>
      <c r="G103" s="305">
        <v>0.1</v>
      </c>
      <c r="H103" s="306">
        <v>0</v>
      </c>
      <c r="I103" s="690"/>
      <c r="J103" s="690"/>
      <c r="K103" s="670"/>
      <c r="L103" s="673"/>
      <c r="O103" s="681" t="s">
        <v>369</v>
      </c>
      <c r="P103" s="307">
        <f>I102</f>
        <v>0.2</v>
      </c>
      <c r="Q103" s="308">
        <f>I105</f>
        <v>1.7</v>
      </c>
      <c r="R103" s="308">
        <f>I108</f>
        <v>0.06</v>
      </c>
      <c r="S103" s="676"/>
      <c r="T103" s="679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V103" s="276"/>
      <c r="AW103" s="276"/>
      <c r="AX103" s="276"/>
    </row>
    <row r="104" spans="1:50" ht="30" customHeight="1" thickBot="1" x14ac:dyDescent="0.25">
      <c r="A104" s="698"/>
      <c r="B104" s="699"/>
      <c r="C104" s="701"/>
      <c r="D104" s="704"/>
      <c r="E104" s="707"/>
      <c r="F104" s="309">
        <v>22</v>
      </c>
      <c r="G104" s="305">
        <v>0.1</v>
      </c>
      <c r="H104" s="306">
        <v>0</v>
      </c>
      <c r="I104" s="691"/>
      <c r="J104" s="691"/>
      <c r="K104" s="671"/>
      <c r="L104" s="674"/>
      <c r="O104" s="682"/>
      <c r="P104" s="310"/>
      <c r="Q104" s="311"/>
      <c r="R104" s="311"/>
      <c r="S104" s="677"/>
      <c r="T104" s="680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V104" s="276"/>
      <c r="AW104" s="276"/>
      <c r="AX104" s="276"/>
    </row>
    <row r="105" spans="1:50" ht="30" customHeight="1" x14ac:dyDescent="0.2">
      <c r="A105" s="683" t="s">
        <v>347</v>
      </c>
      <c r="B105" s="684"/>
      <c r="C105" s="701"/>
      <c r="D105" s="704"/>
      <c r="E105" s="707"/>
      <c r="F105" s="312">
        <v>41.8</v>
      </c>
      <c r="G105" s="305">
        <v>0.1</v>
      </c>
      <c r="H105" s="312">
        <v>-1.8</v>
      </c>
      <c r="I105" s="689">
        <v>1.7</v>
      </c>
      <c r="J105" s="689">
        <v>1.96</v>
      </c>
      <c r="K105" s="692">
        <v>42586</v>
      </c>
      <c r="L105" s="693" t="s">
        <v>320</v>
      </c>
      <c r="O105" s="196"/>
      <c r="P105" s="196"/>
      <c r="Q105" s="196"/>
      <c r="R105" s="196"/>
      <c r="S105" s="196"/>
      <c r="T105" s="19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V105" s="276"/>
      <c r="AW105" s="276"/>
      <c r="AX105" s="276"/>
    </row>
    <row r="106" spans="1:50" ht="30" customHeight="1" x14ac:dyDescent="0.2">
      <c r="A106" s="685"/>
      <c r="B106" s="686"/>
      <c r="C106" s="701"/>
      <c r="D106" s="704"/>
      <c r="E106" s="707"/>
      <c r="F106" s="312">
        <v>50.4</v>
      </c>
      <c r="G106" s="305">
        <v>0.1</v>
      </c>
      <c r="H106" s="312">
        <v>-0.4</v>
      </c>
      <c r="I106" s="690"/>
      <c r="J106" s="690"/>
      <c r="K106" s="670"/>
      <c r="L106" s="673"/>
      <c r="O106" s="196"/>
      <c r="P106" s="196"/>
      <c r="Q106" s="196"/>
      <c r="R106" s="196"/>
      <c r="S106" s="196"/>
      <c r="T106" s="19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V106" s="276"/>
      <c r="AW106" s="276"/>
      <c r="AX106" s="276"/>
    </row>
    <row r="107" spans="1:50" ht="30" customHeight="1" thickBot="1" x14ac:dyDescent="0.25">
      <c r="A107" s="687"/>
      <c r="B107" s="688"/>
      <c r="C107" s="701"/>
      <c r="D107" s="704"/>
      <c r="E107" s="707"/>
      <c r="F107" s="312">
        <v>59.3</v>
      </c>
      <c r="G107" s="305">
        <v>0.1</v>
      </c>
      <c r="H107" s="312">
        <v>0.8</v>
      </c>
      <c r="I107" s="691"/>
      <c r="J107" s="691"/>
      <c r="K107" s="671"/>
      <c r="L107" s="674"/>
      <c r="O107" s="196"/>
      <c r="P107" s="196"/>
      <c r="Q107" s="196"/>
      <c r="R107" s="196"/>
      <c r="S107" s="19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V107" s="276"/>
      <c r="AW107" s="276"/>
      <c r="AX107" s="276"/>
    </row>
    <row r="108" spans="1:50" ht="30" customHeight="1" x14ac:dyDescent="0.2">
      <c r="A108" s="685" t="s">
        <v>353</v>
      </c>
      <c r="B108" s="686"/>
      <c r="C108" s="701"/>
      <c r="D108" s="704"/>
      <c r="E108" s="707"/>
      <c r="F108" s="312">
        <v>397.9</v>
      </c>
      <c r="G108" s="304">
        <v>0.1</v>
      </c>
      <c r="H108" s="312">
        <v>-1.3</v>
      </c>
      <c r="I108" s="689">
        <v>0.06</v>
      </c>
      <c r="J108" s="689">
        <v>2</v>
      </c>
      <c r="K108" s="692">
        <v>42625</v>
      </c>
      <c r="L108" s="721" t="s">
        <v>321</v>
      </c>
      <c r="O108" s="196"/>
      <c r="P108" s="196"/>
      <c r="Q108" s="196"/>
      <c r="R108" s="196"/>
      <c r="S108" s="19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V108" s="276"/>
      <c r="AW108" s="276"/>
      <c r="AX108" s="276"/>
    </row>
    <row r="109" spans="1:50" ht="30" customHeight="1" x14ac:dyDescent="0.2">
      <c r="A109" s="685"/>
      <c r="B109" s="686"/>
      <c r="C109" s="701"/>
      <c r="D109" s="704"/>
      <c r="E109" s="707"/>
      <c r="F109" s="304">
        <v>753.1</v>
      </c>
      <c r="G109" s="304">
        <v>0.1</v>
      </c>
      <c r="H109" s="304">
        <v>-0.74</v>
      </c>
      <c r="I109" s="690"/>
      <c r="J109" s="690"/>
      <c r="K109" s="670"/>
      <c r="L109" s="722"/>
      <c r="O109" s="196"/>
      <c r="P109" s="196"/>
      <c r="Q109" s="196"/>
      <c r="R109" s="196"/>
      <c r="S109" s="19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V109" s="276"/>
      <c r="AW109" s="276"/>
      <c r="AX109" s="276"/>
    </row>
    <row r="110" spans="1:50" ht="30" customHeight="1" thickBot="1" x14ac:dyDescent="0.25">
      <c r="A110" s="687"/>
      <c r="B110" s="688"/>
      <c r="C110" s="702"/>
      <c r="D110" s="705"/>
      <c r="E110" s="708"/>
      <c r="F110" s="313">
        <v>899</v>
      </c>
      <c r="G110" s="314">
        <v>0.1</v>
      </c>
      <c r="H110" s="314">
        <v>-0.09</v>
      </c>
      <c r="I110" s="710"/>
      <c r="J110" s="710"/>
      <c r="K110" s="720"/>
      <c r="L110" s="723"/>
      <c r="O110" s="196"/>
      <c r="P110" s="196"/>
      <c r="Q110" s="196"/>
      <c r="R110" s="196"/>
      <c r="S110" s="19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V110" s="276"/>
      <c r="AW110" s="276"/>
      <c r="AX110" s="276"/>
    </row>
    <row r="111" spans="1:50" ht="30" customHeight="1" thickBot="1" x14ac:dyDescent="0.25">
      <c r="A111" s="315"/>
      <c r="B111" s="315"/>
      <c r="C111" s="316"/>
      <c r="D111" s="317"/>
      <c r="E111" s="318"/>
      <c r="F111" s="319"/>
      <c r="G111" s="316"/>
      <c r="H111" s="316"/>
      <c r="I111" s="316"/>
      <c r="J111" s="316"/>
      <c r="K111" s="320"/>
      <c r="L111" s="316"/>
      <c r="O111" s="196"/>
      <c r="P111" s="196"/>
      <c r="Q111" s="196"/>
      <c r="R111" s="196"/>
      <c r="S111" s="196"/>
      <c r="U111" s="19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</row>
    <row r="112" spans="1:50" ht="30" customHeight="1" thickBot="1" x14ac:dyDescent="0.25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O112" s="196"/>
      <c r="P112" s="196"/>
      <c r="Q112" s="196"/>
      <c r="R112" s="196"/>
      <c r="S112" s="196"/>
      <c r="U112" s="19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</row>
    <row r="113" spans="1:50" ht="30" customHeight="1" x14ac:dyDescent="0.2">
      <c r="A113" s="724" t="s">
        <v>346</v>
      </c>
      <c r="B113" s="725"/>
      <c r="C113" s="700" t="s">
        <v>354</v>
      </c>
      <c r="D113" s="730" t="s">
        <v>277</v>
      </c>
      <c r="E113" s="706">
        <v>19506160802033</v>
      </c>
      <c r="F113" s="300">
        <v>20</v>
      </c>
      <c r="G113" s="299">
        <v>0.1</v>
      </c>
      <c r="H113" s="299">
        <v>-0.1</v>
      </c>
      <c r="I113" s="731">
        <v>1.5</v>
      </c>
      <c r="J113" s="731">
        <v>2</v>
      </c>
      <c r="K113" s="732">
        <v>42675</v>
      </c>
      <c r="L113" s="733" t="s">
        <v>316</v>
      </c>
      <c r="O113" s="321"/>
      <c r="P113" s="322" t="s">
        <v>343</v>
      </c>
      <c r="Q113" s="323" t="s">
        <v>344</v>
      </c>
      <c r="R113" s="323" t="s">
        <v>345</v>
      </c>
      <c r="S113" s="711" t="s">
        <v>348</v>
      </c>
      <c r="T113" s="712" t="s">
        <v>341</v>
      </c>
      <c r="U113" s="19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</row>
    <row r="114" spans="1:50" ht="30" customHeight="1" x14ac:dyDescent="0.2">
      <c r="A114" s="726"/>
      <c r="B114" s="727"/>
      <c r="C114" s="701"/>
      <c r="D114" s="707"/>
      <c r="E114" s="707"/>
      <c r="F114" s="304">
        <v>28.1</v>
      </c>
      <c r="G114" s="304">
        <v>0.1</v>
      </c>
      <c r="H114" s="304">
        <v>0.1</v>
      </c>
      <c r="I114" s="707"/>
      <c r="J114" s="707"/>
      <c r="K114" s="707"/>
      <c r="L114" s="718"/>
      <c r="O114" s="681" t="s">
        <v>342</v>
      </c>
      <c r="P114" s="307">
        <f>I113</f>
        <v>1.5</v>
      </c>
      <c r="Q114" s="324">
        <f>I116</f>
        <v>1.6</v>
      </c>
      <c r="R114" s="325">
        <f>I119</f>
        <v>0.21</v>
      </c>
      <c r="S114" s="676"/>
      <c r="T114" s="679"/>
      <c r="U114" s="19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</row>
    <row r="115" spans="1:50" ht="30" customHeight="1" thickBot="1" x14ac:dyDescent="0.25">
      <c r="A115" s="728"/>
      <c r="B115" s="729"/>
      <c r="C115" s="701"/>
      <c r="D115" s="707"/>
      <c r="E115" s="707"/>
      <c r="F115" s="304">
        <v>32.1</v>
      </c>
      <c r="G115" s="304">
        <v>0.1</v>
      </c>
      <c r="H115" s="304">
        <v>0.1</v>
      </c>
      <c r="I115" s="714"/>
      <c r="J115" s="714"/>
      <c r="K115" s="714"/>
      <c r="L115" s="719"/>
      <c r="O115" s="682"/>
      <c r="P115" s="310"/>
      <c r="Q115" s="311"/>
      <c r="R115" s="311"/>
      <c r="S115" s="677"/>
      <c r="T115" s="680"/>
      <c r="U115" s="19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</row>
    <row r="116" spans="1:50" ht="30" customHeight="1" x14ac:dyDescent="0.2">
      <c r="A116" s="683" t="s">
        <v>347</v>
      </c>
      <c r="B116" s="684"/>
      <c r="C116" s="701"/>
      <c r="D116" s="707"/>
      <c r="E116" s="707"/>
      <c r="F116" s="304">
        <v>50.1</v>
      </c>
      <c r="G116" s="326">
        <v>0.1</v>
      </c>
      <c r="H116" s="326">
        <v>0.9</v>
      </c>
      <c r="I116" s="713">
        <v>1.6</v>
      </c>
      <c r="J116" s="715">
        <v>2</v>
      </c>
      <c r="K116" s="716">
        <v>42676</v>
      </c>
      <c r="L116" s="717" t="s">
        <v>317</v>
      </c>
      <c r="O116" s="196"/>
      <c r="P116" s="196"/>
      <c r="Q116" s="196"/>
      <c r="R116" s="196"/>
      <c r="U116" s="19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</row>
    <row r="117" spans="1:50" ht="30" customHeight="1" x14ac:dyDescent="0.2">
      <c r="A117" s="685"/>
      <c r="B117" s="686"/>
      <c r="C117" s="701"/>
      <c r="D117" s="707"/>
      <c r="E117" s="707"/>
      <c r="F117" s="304">
        <v>59.9</v>
      </c>
      <c r="G117" s="326">
        <v>0.1</v>
      </c>
      <c r="H117" s="326">
        <v>0.5</v>
      </c>
      <c r="I117" s="707"/>
      <c r="J117" s="707"/>
      <c r="K117" s="707"/>
      <c r="L117" s="718"/>
      <c r="O117" s="196"/>
      <c r="P117" s="196"/>
      <c r="Q117" s="196"/>
      <c r="R117" s="196"/>
      <c r="U117" s="19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</row>
    <row r="118" spans="1:50" ht="30" customHeight="1" thickBot="1" x14ac:dyDescent="0.25">
      <c r="A118" s="687"/>
      <c r="B118" s="688"/>
      <c r="C118" s="701"/>
      <c r="D118" s="707"/>
      <c r="E118" s="707"/>
      <c r="F118" s="304">
        <v>69.099999999999994</v>
      </c>
      <c r="G118" s="326">
        <v>0.1</v>
      </c>
      <c r="H118" s="326">
        <v>0.1</v>
      </c>
      <c r="I118" s="714"/>
      <c r="J118" s="714"/>
      <c r="K118" s="714"/>
      <c r="L118" s="719"/>
      <c r="O118" s="196"/>
      <c r="P118" s="196"/>
      <c r="Q118" s="196"/>
      <c r="R118" s="196"/>
      <c r="U118" s="196"/>
      <c r="V118" s="19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</row>
    <row r="119" spans="1:50" ht="30" customHeight="1" x14ac:dyDescent="0.2">
      <c r="A119" s="683" t="s">
        <v>353</v>
      </c>
      <c r="B119" s="684"/>
      <c r="C119" s="701"/>
      <c r="D119" s="707"/>
      <c r="E119" s="707"/>
      <c r="F119" s="327">
        <v>499</v>
      </c>
      <c r="G119" s="326">
        <v>0.1</v>
      </c>
      <c r="H119" s="326">
        <v>-1</v>
      </c>
      <c r="I119" s="739">
        <v>0.21</v>
      </c>
      <c r="J119" s="715">
        <v>1.6</v>
      </c>
      <c r="K119" s="716">
        <v>42671</v>
      </c>
      <c r="L119" s="717" t="s">
        <v>318</v>
      </c>
      <c r="O119" s="196"/>
      <c r="P119" s="196"/>
      <c r="Q119" s="196"/>
      <c r="R119" s="196"/>
      <c r="T119" s="328"/>
      <c r="U119" s="196"/>
      <c r="V119" s="19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</row>
    <row r="120" spans="1:50" ht="30" customHeight="1" x14ac:dyDescent="0.2">
      <c r="A120" s="685"/>
      <c r="B120" s="686"/>
      <c r="C120" s="701"/>
      <c r="D120" s="707"/>
      <c r="E120" s="707"/>
      <c r="F120" s="304">
        <v>799.8</v>
      </c>
      <c r="G120" s="326">
        <v>0.1</v>
      </c>
      <c r="H120" s="326">
        <v>-0.4</v>
      </c>
      <c r="I120" s="707"/>
      <c r="J120" s="707"/>
      <c r="K120" s="707"/>
      <c r="L120" s="718"/>
      <c r="O120" s="196"/>
      <c r="P120" s="196"/>
      <c r="Q120" s="196"/>
      <c r="R120" s="196"/>
      <c r="T120" s="274"/>
      <c r="U120" s="196"/>
      <c r="V120" s="196"/>
    </row>
    <row r="121" spans="1:50" ht="30" customHeight="1" thickBot="1" x14ac:dyDescent="0.25">
      <c r="A121" s="687"/>
      <c r="B121" s="688"/>
      <c r="C121" s="702"/>
      <c r="D121" s="708"/>
      <c r="E121" s="708"/>
      <c r="F121" s="314">
        <v>1099.8</v>
      </c>
      <c r="G121" s="329">
        <v>0.1</v>
      </c>
      <c r="H121" s="329">
        <v>-0.4</v>
      </c>
      <c r="I121" s="708"/>
      <c r="J121" s="708"/>
      <c r="K121" s="708"/>
      <c r="L121" s="740"/>
      <c r="O121" s="196"/>
      <c r="P121" s="196"/>
      <c r="Q121" s="196"/>
      <c r="R121" s="196"/>
      <c r="T121" s="274"/>
      <c r="U121" s="196"/>
      <c r="V121" s="196"/>
    </row>
    <row r="122" spans="1:50" ht="30" customHeight="1" thickBot="1" x14ac:dyDescent="0.25">
      <c r="A122" s="330"/>
      <c r="B122" s="331"/>
      <c r="C122" s="248"/>
      <c r="D122" s="332"/>
      <c r="E122" s="333"/>
      <c r="F122" s="248"/>
      <c r="G122" s="248"/>
      <c r="H122" s="248"/>
      <c r="I122" s="248"/>
      <c r="J122" s="248"/>
      <c r="K122" s="334"/>
      <c r="L122" s="335"/>
      <c r="O122" s="196"/>
      <c r="P122" s="196"/>
      <c r="Q122" s="196"/>
      <c r="R122" s="196"/>
      <c r="T122" s="274"/>
      <c r="U122" s="196"/>
      <c r="V122" s="196"/>
    </row>
    <row r="123" spans="1:50" ht="30" customHeight="1" thickBot="1" x14ac:dyDescent="0.25">
      <c r="A123" s="336"/>
      <c r="B123" s="295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O123" s="196"/>
      <c r="P123" s="196"/>
      <c r="Q123" s="196"/>
      <c r="R123" s="196"/>
      <c r="T123" s="274"/>
      <c r="U123" s="196"/>
      <c r="V123" s="196"/>
    </row>
    <row r="124" spans="1:50" ht="30" customHeight="1" x14ac:dyDescent="0.2">
      <c r="A124" s="694" t="s">
        <v>346</v>
      </c>
      <c r="B124" s="741"/>
      <c r="C124" s="700" t="s">
        <v>355</v>
      </c>
      <c r="D124" s="746" t="s">
        <v>277</v>
      </c>
      <c r="E124" s="706">
        <v>19406160802033</v>
      </c>
      <c r="F124" s="300">
        <v>16</v>
      </c>
      <c r="G124" s="299">
        <v>0.1</v>
      </c>
      <c r="H124" s="299">
        <v>-0.1</v>
      </c>
      <c r="I124" s="734">
        <v>1.5</v>
      </c>
      <c r="J124" s="734">
        <v>2</v>
      </c>
      <c r="K124" s="736">
        <v>42674</v>
      </c>
      <c r="L124" s="737" t="s">
        <v>314</v>
      </c>
      <c r="O124" s="321"/>
      <c r="P124" s="322" t="s">
        <v>343</v>
      </c>
      <c r="Q124" s="323" t="s">
        <v>344</v>
      </c>
      <c r="R124" s="323" t="s">
        <v>345</v>
      </c>
      <c r="S124" s="711" t="s">
        <v>356</v>
      </c>
      <c r="T124" s="712" t="s">
        <v>357</v>
      </c>
      <c r="U124" s="196"/>
      <c r="V124" s="196"/>
    </row>
    <row r="125" spans="1:50" ht="30" customHeight="1" x14ac:dyDescent="0.2">
      <c r="A125" s="742"/>
      <c r="B125" s="743"/>
      <c r="C125" s="701"/>
      <c r="D125" s="747"/>
      <c r="E125" s="707"/>
      <c r="F125" s="304">
        <v>20.100000000000001</v>
      </c>
      <c r="G125" s="304">
        <v>0.1</v>
      </c>
      <c r="H125" s="304">
        <v>-0.1</v>
      </c>
      <c r="I125" s="735"/>
      <c r="J125" s="735"/>
      <c r="K125" s="735"/>
      <c r="L125" s="738" t="s">
        <v>313</v>
      </c>
      <c r="O125" s="681" t="s">
        <v>370</v>
      </c>
      <c r="P125" s="307">
        <f>I124</f>
        <v>1.5</v>
      </c>
      <c r="Q125" s="308">
        <f>I127</f>
        <v>1.6</v>
      </c>
      <c r="R125" s="308">
        <f>I130</f>
        <v>0.21</v>
      </c>
      <c r="S125" s="676"/>
      <c r="T125" s="679"/>
      <c r="U125" s="196"/>
      <c r="V125" s="196"/>
    </row>
    <row r="126" spans="1:50" ht="30" customHeight="1" thickBot="1" x14ac:dyDescent="0.25">
      <c r="A126" s="744"/>
      <c r="B126" s="745"/>
      <c r="C126" s="701"/>
      <c r="D126" s="747"/>
      <c r="E126" s="707"/>
      <c r="F126" s="304">
        <v>24.4</v>
      </c>
      <c r="G126" s="305">
        <v>0.1</v>
      </c>
      <c r="H126" s="304">
        <v>0.1</v>
      </c>
      <c r="I126" s="735"/>
      <c r="J126" s="735"/>
      <c r="K126" s="735"/>
      <c r="L126" s="738"/>
      <c r="O126" s="682"/>
      <c r="P126" s="310"/>
      <c r="Q126" s="311"/>
      <c r="R126" s="311"/>
      <c r="S126" s="677"/>
      <c r="T126" s="680"/>
      <c r="U126" s="196"/>
      <c r="V126" s="196"/>
    </row>
    <row r="127" spans="1:50" ht="30" customHeight="1" x14ac:dyDescent="0.2">
      <c r="A127" s="683" t="s">
        <v>347</v>
      </c>
      <c r="B127" s="749"/>
      <c r="C127" s="701"/>
      <c r="D127" s="747"/>
      <c r="E127" s="707"/>
      <c r="F127" s="304">
        <v>39.5</v>
      </c>
      <c r="G127" s="304">
        <v>0.1</v>
      </c>
      <c r="H127" s="304">
        <v>0.79</v>
      </c>
      <c r="I127" s="752">
        <v>1.6</v>
      </c>
      <c r="J127" s="752">
        <v>2</v>
      </c>
      <c r="K127" s="736">
        <v>42674</v>
      </c>
      <c r="L127" s="753" t="s">
        <v>313</v>
      </c>
      <c r="O127" s="196"/>
      <c r="P127" s="196"/>
      <c r="Q127" s="196"/>
      <c r="R127" s="196"/>
      <c r="T127" s="274"/>
      <c r="U127" s="196"/>
      <c r="V127" s="196"/>
    </row>
    <row r="128" spans="1:50" ht="30" customHeight="1" x14ac:dyDescent="0.2">
      <c r="A128" s="685"/>
      <c r="B128" s="750"/>
      <c r="C128" s="701"/>
      <c r="D128" s="747"/>
      <c r="E128" s="707"/>
      <c r="F128" s="304">
        <v>49.8</v>
      </c>
      <c r="G128" s="304">
        <v>0.1</v>
      </c>
      <c r="H128" s="304">
        <v>0.63</v>
      </c>
      <c r="I128" s="735">
        <v>1.6</v>
      </c>
      <c r="J128" s="735">
        <v>2</v>
      </c>
      <c r="K128" s="735"/>
      <c r="L128" s="738" t="s">
        <v>314</v>
      </c>
      <c r="O128" s="196"/>
      <c r="P128" s="196"/>
      <c r="Q128" s="196"/>
      <c r="R128" s="196"/>
      <c r="T128" s="274"/>
      <c r="U128" s="196"/>
      <c r="V128" s="196"/>
    </row>
    <row r="129" spans="1:22" ht="30" customHeight="1" thickBot="1" x14ac:dyDescent="0.25">
      <c r="A129" s="687"/>
      <c r="B129" s="751"/>
      <c r="C129" s="701"/>
      <c r="D129" s="747"/>
      <c r="E129" s="707"/>
      <c r="F129" s="304">
        <v>59.3</v>
      </c>
      <c r="G129" s="304">
        <v>0.1</v>
      </c>
      <c r="H129" s="304">
        <v>-0.13</v>
      </c>
      <c r="I129" s="735"/>
      <c r="J129" s="735"/>
      <c r="K129" s="735"/>
      <c r="L129" s="738"/>
      <c r="O129" s="196"/>
      <c r="P129" s="196"/>
      <c r="Q129" s="196"/>
      <c r="R129" s="196"/>
      <c r="T129" s="274"/>
      <c r="U129" s="196"/>
      <c r="V129" s="196"/>
    </row>
    <row r="130" spans="1:22" ht="30" customHeight="1" x14ac:dyDescent="0.2">
      <c r="A130" s="683" t="s">
        <v>353</v>
      </c>
      <c r="B130" s="749"/>
      <c r="C130" s="701"/>
      <c r="D130" s="747"/>
      <c r="E130" s="707"/>
      <c r="F130" s="327">
        <v>499</v>
      </c>
      <c r="G130" s="304">
        <v>0.1</v>
      </c>
      <c r="H130" s="327">
        <v>-1</v>
      </c>
      <c r="I130" s="752">
        <v>0.21</v>
      </c>
      <c r="J130" s="752">
        <v>2</v>
      </c>
      <c r="K130" s="755">
        <v>42671</v>
      </c>
      <c r="L130" s="753" t="s">
        <v>315</v>
      </c>
      <c r="O130" s="196"/>
      <c r="P130" s="196"/>
      <c r="Q130" s="196"/>
      <c r="R130" s="196"/>
      <c r="T130" s="274"/>
      <c r="U130" s="196"/>
      <c r="V130" s="196"/>
    </row>
    <row r="131" spans="1:22" ht="30" customHeight="1" x14ac:dyDescent="0.2">
      <c r="A131" s="685"/>
      <c r="B131" s="750"/>
      <c r="C131" s="701"/>
      <c r="D131" s="747"/>
      <c r="E131" s="707"/>
      <c r="F131" s="304">
        <v>799.8</v>
      </c>
      <c r="G131" s="304">
        <v>0.1</v>
      </c>
      <c r="H131" s="327">
        <v>-0.4</v>
      </c>
      <c r="I131" s="735">
        <v>0.17</v>
      </c>
      <c r="J131" s="735">
        <v>2</v>
      </c>
      <c r="K131" s="735">
        <v>42671</v>
      </c>
      <c r="L131" s="738" t="s">
        <v>315</v>
      </c>
      <c r="O131" s="196"/>
      <c r="P131" s="196"/>
      <c r="Q131" s="196"/>
      <c r="R131" s="196"/>
      <c r="T131" s="274"/>
      <c r="U131" s="196"/>
      <c r="V131" s="196"/>
    </row>
    <row r="132" spans="1:22" ht="30" customHeight="1" thickBot="1" x14ac:dyDescent="0.25">
      <c r="A132" s="687"/>
      <c r="B132" s="751"/>
      <c r="C132" s="702"/>
      <c r="D132" s="748"/>
      <c r="E132" s="708"/>
      <c r="F132" s="314">
        <v>1099.9000000000001</v>
      </c>
      <c r="G132" s="314">
        <v>0.1</v>
      </c>
      <c r="H132" s="313">
        <v>-0.3</v>
      </c>
      <c r="I132" s="754"/>
      <c r="J132" s="754"/>
      <c r="K132" s="754"/>
      <c r="L132" s="756"/>
      <c r="O132" s="196"/>
      <c r="P132" s="196"/>
      <c r="Q132" s="196"/>
      <c r="R132" s="196"/>
      <c r="T132" s="274"/>
      <c r="U132" s="196"/>
      <c r="V132" s="196"/>
    </row>
    <row r="133" spans="1:22" ht="30" customHeight="1" thickBot="1" x14ac:dyDescent="0.25">
      <c r="A133" s="291"/>
      <c r="B133" s="294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O133" s="196"/>
      <c r="P133" s="196"/>
      <c r="Q133" s="196"/>
      <c r="R133" s="196"/>
      <c r="T133" s="274"/>
      <c r="U133" s="196"/>
      <c r="V133" s="196"/>
    </row>
    <row r="134" spans="1:22" ht="30" customHeight="1" x14ac:dyDescent="0.2">
      <c r="A134" s="759" t="s">
        <v>346</v>
      </c>
      <c r="B134" s="746"/>
      <c r="C134" s="731" t="s">
        <v>358</v>
      </c>
      <c r="D134" s="746" t="s">
        <v>277</v>
      </c>
      <c r="E134" s="706" t="s">
        <v>309</v>
      </c>
      <c r="F134" s="299">
        <v>18.100000000000001</v>
      </c>
      <c r="G134" s="304">
        <v>0.1</v>
      </c>
      <c r="H134" s="300">
        <v>0</v>
      </c>
      <c r="I134" s="761">
        <v>0.2</v>
      </c>
      <c r="J134" s="734">
        <v>1.96</v>
      </c>
      <c r="K134" s="736">
        <v>42580</v>
      </c>
      <c r="L134" s="737" t="s">
        <v>359</v>
      </c>
      <c r="O134" s="321"/>
      <c r="P134" s="322" t="s">
        <v>343</v>
      </c>
      <c r="Q134" s="323" t="s">
        <v>344</v>
      </c>
      <c r="R134" s="323" t="s">
        <v>345</v>
      </c>
      <c r="S134" s="711" t="s">
        <v>351</v>
      </c>
      <c r="T134" s="712" t="s">
        <v>360</v>
      </c>
      <c r="U134" s="196"/>
      <c r="V134" s="196"/>
    </row>
    <row r="135" spans="1:22" ht="30" customHeight="1" x14ac:dyDescent="0.2">
      <c r="A135" s="760"/>
      <c r="B135" s="747"/>
      <c r="C135" s="707"/>
      <c r="D135" s="747"/>
      <c r="E135" s="707"/>
      <c r="F135" s="304">
        <v>20.100000000000001</v>
      </c>
      <c r="G135" s="304">
        <v>0.1</v>
      </c>
      <c r="H135" s="327">
        <v>0</v>
      </c>
      <c r="I135" s="762"/>
      <c r="J135" s="735"/>
      <c r="K135" s="735"/>
      <c r="L135" s="738"/>
      <c r="O135" s="681" t="s">
        <v>338</v>
      </c>
      <c r="P135" s="337">
        <f>I134</f>
        <v>0.2</v>
      </c>
      <c r="Q135" s="308">
        <f>I137</f>
        <v>1.7</v>
      </c>
      <c r="R135" s="308">
        <f>I140</f>
        <v>6.4000000000000001E-2</v>
      </c>
      <c r="S135" s="676"/>
      <c r="T135" s="679"/>
      <c r="U135" s="196"/>
      <c r="V135" s="196"/>
    </row>
    <row r="136" spans="1:22" ht="30" customHeight="1" thickBot="1" x14ac:dyDescent="0.25">
      <c r="A136" s="760"/>
      <c r="B136" s="747"/>
      <c r="C136" s="707"/>
      <c r="D136" s="747"/>
      <c r="E136" s="707"/>
      <c r="F136" s="327">
        <v>22</v>
      </c>
      <c r="G136" s="304">
        <v>0.1</v>
      </c>
      <c r="H136" s="327">
        <v>0</v>
      </c>
      <c r="I136" s="762">
        <v>0.2</v>
      </c>
      <c r="J136" s="735">
        <v>1.96</v>
      </c>
      <c r="K136" s="735">
        <v>42580</v>
      </c>
      <c r="L136" s="738" t="s">
        <v>310</v>
      </c>
      <c r="O136" s="682"/>
      <c r="P136" s="310"/>
      <c r="Q136" s="311"/>
      <c r="R136" s="311"/>
      <c r="S136" s="677"/>
      <c r="T136" s="680"/>
      <c r="U136" s="196"/>
      <c r="V136" s="196"/>
    </row>
    <row r="137" spans="1:22" ht="30" customHeight="1" x14ac:dyDescent="0.2">
      <c r="A137" s="757" t="s">
        <v>347</v>
      </c>
      <c r="B137" s="758"/>
      <c r="C137" s="707"/>
      <c r="D137" s="747"/>
      <c r="E137" s="707"/>
      <c r="F137" s="304">
        <v>41.8</v>
      </c>
      <c r="G137" s="304">
        <v>0.1</v>
      </c>
      <c r="H137" s="304">
        <v>-1.8</v>
      </c>
      <c r="I137" s="752">
        <v>1.7</v>
      </c>
      <c r="J137" s="752">
        <v>1.96</v>
      </c>
      <c r="K137" s="755">
        <v>42586</v>
      </c>
      <c r="L137" s="753" t="s">
        <v>361</v>
      </c>
      <c r="O137" s="196"/>
      <c r="P137" s="196"/>
      <c r="Q137" s="196"/>
      <c r="R137" s="196"/>
      <c r="T137" s="274"/>
      <c r="U137" s="196"/>
      <c r="V137" s="196"/>
    </row>
    <row r="138" spans="1:22" ht="30" customHeight="1" x14ac:dyDescent="0.2">
      <c r="A138" s="757"/>
      <c r="B138" s="758"/>
      <c r="C138" s="707"/>
      <c r="D138" s="747"/>
      <c r="E138" s="707"/>
      <c r="F138" s="304">
        <v>50.6</v>
      </c>
      <c r="G138" s="304">
        <v>0.1</v>
      </c>
      <c r="H138" s="304">
        <v>-0.6</v>
      </c>
      <c r="I138" s="735">
        <v>1.7</v>
      </c>
      <c r="J138" s="735">
        <v>1.96</v>
      </c>
      <c r="K138" s="735">
        <v>42586</v>
      </c>
      <c r="L138" s="738" t="s">
        <v>311</v>
      </c>
      <c r="O138" s="196"/>
      <c r="P138" s="196"/>
      <c r="Q138" s="196"/>
      <c r="R138" s="196"/>
      <c r="T138" s="274"/>
      <c r="U138" s="196"/>
      <c r="V138" s="196"/>
    </row>
    <row r="139" spans="1:22" ht="30" customHeight="1" x14ac:dyDescent="0.2">
      <c r="A139" s="757"/>
      <c r="B139" s="758"/>
      <c r="C139" s="707"/>
      <c r="D139" s="747"/>
      <c r="E139" s="707"/>
      <c r="F139" s="304">
        <v>59.4</v>
      </c>
      <c r="G139" s="304">
        <v>0.1</v>
      </c>
      <c r="H139" s="304">
        <v>0.6</v>
      </c>
      <c r="I139" s="735"/>
      <c r="J139" s="735"/>
      <c r="K139" s="735"/>
      <c r="L139" s="738"/>
      <c r="O139" s="196"/>
      <c r="P139" s="196"/>
      <c r="Q139" s="196"/>
      <c r="R139" s="196"/>
      <c r="T139" s="274"/>
      <c r="U139" s="196"/>
      <c r="V139" s="196"/>
    </row>
    <row r="140" spans="1:22" ht="30" customHeight="1" x14ac:dyDescent="0.2">
      <c r="A140" s="757" t="s">
        <v>353</v>
      </c>
      <c r="B140" s="758"/>
      <c r="C140" s="707"/>
      <c r="D140" s="747"/>
      <c r="E140" s="707"/>
      <c r="F140" s="304">
        <v>397.9</v>
      </c>
      <c r="G140" s="304">
        <v>0.1</v>
      </c>
      <c r="H140" s="304">
        <v>-1.3</v>
      </c>
      <c r="I140" s="752">
        <v>6.4000000000000001E-2</v>
      </c>
      <c r="J140" s="765">
        <v>2</v>
      </c>
      <c r="K140" s="755">
        <v>42625</v>
      </c>
      <c r="L140" s="753" t="s">
        <v>362</v>
      </c>
      <c r="O140" s="196"/>
      <c r="P140" s="196"/>
      <c r="Q140" s="196"/>
      <c r="R140" s="196"/>
      <c r="T140" s="197"/>
    </row>
    <row r="141" spans="1:22" ht="30" customHeight="1" x14ac:dyDescent="0.2">
      <c r="A141" s="757"/>
      <c r="B141" s="758"/>
      <c r="C141" s="707"/>
      <c r="D141" s="747"/>
      <c r="E141" s="707"/>
      <c r="F141" s="304">
        <v>753.2</v>
      </c>
      <c r="G141" s="304">
        <v>0.1</v>
      </c>
      <c r="H141" s="338">
        <v>-0.64100000000000001</v>
      </c>
      <c r="I141" s="735">
        <v>6.4000000000000001E-2</v>
      </c>
      <c r="J141" s="766">
        <v>2</v>
      </c>
      <c r="K141" s="735">
        <v>42625</v>
      </c>
      <c r="L141" s="738" t="s">
        <v>312</v>
      </c>
      <c r="O141" s="196"/>
      <c r="P141" s="196"/>
      <c r="Q141" s="196"/>
      <c r="R141" s="196"/>
      <c r="T141" s="197"/>
    </row>
    <row r="142" spans="1:22" ht="30" customHeight="1" thickBot="1" x14ac:dyDescent="0.25">
      <c r="A142" s="763"/>
      <c r="B142" s="764"/>
      <c r="C142" s="708"/>
      <c r="D142" s="748"/>
      <c r="E142" s="708"/>
      <c r="F142" s="314">
        <v>1099.3</v>
      </c>
      <c r="G142" s="304">
        <v>0.1</v>
      </c>
      <c r="H142" s="314">
        <v>-0.06</v>
      </c>
      <c r="I142" s="754"/>
      <c r="J142" s="767"/>
      <c r="K142" s="754"/>
      <c r="L142" s="756"/>
      <c r="O142" s="196"/>
      <c r="P142" s="196"/>
      <c r="Q142" s="196"/>
      <c r="R142" s="196"/>
      <c r="T142" s="197"/>
    </row>
    <row r="143" spans="1:22" ht="30" customHeight="1" thickBot="1" x14ac:dyDescent="0.25">
      <c r="A143" s="339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O143" s="196"/>
      <c r="P143" s="196"/>
      <c r="Q143" s="196"/>
      <c r="R143" s="196"/>
      <c r="T143" s="197"/>
    </row>
    <row r="144" spans="1:22" ht="30" customHeight="1" x14ac:dyDescent="0.2">
      <c r="A144" s="759" t="s">
        <v>346</v>
      </c>
      <c r="B144" s="746"/>
      <c r="C144" s="731" t="s">
        <v>363</v>
      </c>
      <c r="D144" s="746" t="s">
        <v>277</v>
      </c>
      <c r="E144" s="768" t="s">
        <v>305</v>
      </c>
      <c r="F144" s="299">
        <v>18.2</v>
      </c>
      <c r="G144" s="299">
        <v>0.1</v>
      </c>
      <c r="H144" s="299">
        <v>0</v>
      </c>
      <c r="I144" s="761">
        <v>0.2</v>
      </c>
      <c r="J144" s="734">
        <v>1.96</v>
      </c>
      <c r="K144" s="736">
        <v>42586</v>
      </c>
      <c r="L144" s="737" t="s">
        <v>364</v>
      </c>
      <c r="O144" s="321"/>
      <c r="P144" s="322" t="s">
        <v>343</v>
      </c>
      <c r="Q144" s="323" t="s">
        <v>344</v>
      </c>
      <c r="R144" s="323" t="s">
        <v>345</v>
      </c>
      <c r="S144" s="711" t="s">
        <v>365</v>
      </c>
      <c r="T144" s="712" t="s">
        <v>366</v>
      </c>
    </row>
    <row r="145" spans="1:20" ht="30" customHeight="1" x14ac:dyDescent="0.2">
      <c r="A145" s="760"/>
      <c r="B145" s="747"/>
      <c r="C145" s="707"/>
      <c r="D145" s="747"/>
      <c r="E145" s="707"/>
      <c r="F145" s="327">
        <v>20</v>
      </c>
      <c r="G145" s="304">
        <v>0.1</v>
      </c>
      <c r="H145" s="304">
        <v>0.1</v>
      </c>
      <c r="I145" s="762"/>
      <c r="J145" s="735"/>
      <c r="K145" s="735">
        <v>42586</v>
      </c>
      <c r="L145" s="738" t="s">
        <v>307</v>
      </c>
      <c r="O145" s="681" t="s">
        <v>371</v>
      </c>
      <c r="P145" s="337">
        <f>I144</f>
        <v>0.2</v>
      </c>
      <c r="Q145" s="308">
        <f>I147</f>
        <v>1.7</v>
      </c>
      <c r="R145" s="308">
        <f>I150</f>
        <v>6.4000000000000001E-2</v>
      </c>
      <c r="S145" s="676"/>
      <c r="T145" s="679"/>
    </row>
    <row r="146" spans="1:20" ht="30" customHeight="1" thickBot="1" x14ac:dyDescent="0.25">
      <c r="A146" s="760"/>
      <c r="B146" s="747"/>
      <c r="C146" s="707"/>
      <c r="D146" s="747"/>
      <c r="E146" s="707"/>
      <c r="F146" s="327">
        <v>22</v>
      </c>
      <c r="G146" s="304">
        <v>0.1</v>
      </c>
      <c r="H146" s="327">
        <v>0</v>
      </c>
      <c r="I146" s="762"/>
      <c r="J146" s="735"/>
      <c r="K146" s="735">
        <v>42625</v>
      </c>
      <c r="L146" s="738" t="s">
        <v>308</v>
      </c>
      <c r="O146" s="682"/>
      <c r="P146" s="310"/>
      <c r="Q146" s="311"/>
      <c r="R146" s="311"/>
      <c r="S146" s="677"/>
      <c r="T146" s="680"/>
    </row>
    <row r="147" spans="1:20" ht="30" customHeight="1" x14ac:dyDescent="0.2">
      <c r="A147" s="757" t="s">
        <v>347</v>
      </c>
      <c r="B147" s="758"/>
      <c r="C147" s="707"/>
      <c r="D147" s="747"/>
      <c r="E147" s="707"/>
      <c r="F147" s="304">
        <v>41.8</v>
      </c>
      <c r="G147" s="304">
        <v>0.1</v>
      </c>
      <c r="H147" s="304">
        <v>-1.8</v>
      </c>
      <c r="I147" s="752">
        <v>1.7</v>
      </c>
      <c r="J147" s="752">
        <v>1.96</v>
      </c>
      <c r="K147" s="755">
        <v>42586</v>
      </c>
      <c r="L147" s="753" t="s">
        <v>367</v>
      </c>
      <c r="O147" s="196"/>
      <c r="P147" s="196"/>
      <c r="Q147" s="196"/>
      <c r="R147" s="196"/>
      <c r="T147" s="197"/>
    </row>
    <row r="148" spans="1:20" ht="30" customHeight="1" x14ac:dyDescent="0.2">
      <c r="A148" s="757"/>
      <c r="B148" s="758"/>
      <c r="C148" s="707"/>
      <c r="D148" s="747"/>
      <c r="E148" s="707"/>
      <c r="F148" s="304">
        <v>50.5</v>
      </c>
      <c r="G148" s="304">
        <v>0.1</v>
      </c>
      <c r="H148" s="304">
        <v>-0.5</v>
      </c>
      <c r="I148" s="735"/>
      <c r="J148" s="735"/>
      <c r="K148" s="735">
        <v>42586</v>
      </c>
      <c r="L148" s="738" t="s">
        <v>307</v>
      </c>
      <c r="O148" s="196"/>
      <c r="P148" s="196"/>
      <c r="Q148" s="196"/>
      <c r="R148" s="196"/>
      <c r="T148" s="197"/>
    </row>
    <row r="149" spans="1:20" ht="30" customHeight="1" x14ac:dyDescent="0.2">
      <c r="A149" s="757"/>
      <c r="B149" s="758"/>
      <c r="C149" s="707"/>
      <c r="D149" s="747"/>
      <c r="E149" s="707"/>
      <c r="F149" s="304">
        <v>59.3</v>
      </c>
      <c r="G149" s="304">
        <v>0.1</v>
      </c>
      <c r="H149" s="304">
        <v>0.7</v>
      </c>
      <c r="I149" s="735"/>
      <c r="J149" s="735"/>
      <c r="K149" s="735">
        <v>42625</v>
      </c>
      <c r="L149" s="738" t="s">
        <v>308</v>
      </c>
      <c r="O149" s="196"/>
      <c r="P149" s="196"/>
      <c r="Q149" s="196"/>
      <c r="R149" s="196"/>
      <c r="T149" s="197"/>
    </row>
    <row r="150" spans="1:20" ht="30" customHeight="1" x14ac:dyDescent="0.2">
      <c r="A150" s="757" t="s">
        <v>353</v>
      </c>
      <c r="B150" s="758"/>
      <c r="C150" s="707"/>
      <c r="D150" s="747"/>
      <c r="E150" s="707"/>
      <c r="F150" s="327">
        <v>397.9</v>
      </c>
      <c r="G150" s="304">
        <v>0.1</v>
      </c>
      <c r="H150" s="304">
        <v>-1.34</v>
      </c>
      <c r="I150" s="752">
        <v>6.4000000000000001E-2</v>
      </c>
      <c r="J150" s="765">
        <v>1.96</v>
      </c>
      <c r="K150" s="755">
        <v>42625</v>
      </c>
      <c r="L150" s="753" t="s">
        <v>368</v>
      </c>
      <c r="O150" s="197"/>
      <c r="T150" s="197"/>
    </row>
    <row r="151" spans="1:20" ht="30" customHeight="1" x14ac:dyDescent="0.2">
      <c r="A151" s="757"/>
      <c r="B151" s="758"/>
      <c r="C151" s="707"/>
      <c r="D151" s="747"/>
      <c r="E151" s="707"/>
      <c r="F151" s="304">
        <v>753.2</v>
      </c>
      <c r="G151" s="304">
        <v>0.1</v>
      </c>
      <c r="H151" s="338">
        <v>-0.64100000000000001</v>
      </c>
      <c r="I151" s="735">
        <v>1.7</v>
      </c>
      <c r="J151" s="766">
        <v>1.96</v>
      </c>
      <c r="K151" s="735">
        <v>42586</v>
      </c>
      <c r="L151" s="738" t="s">
        <v>307</v>
      </c>
      <c r="O151" s="197"/>
      <c r="T151" s="197"/>
    </row>
    <row r="152" spans="1:20" ht="30" customHeight="1" thickBot="1" x14ac:dyDescent="0.25">
      <c r="A152" s="763"/>
      <c r="B152" s="764"/>
      <c r="C152" s="708"/>
      <c r="D152" s="748"/>
      <c r="E152" s="708"/>
      <c r="F152" s="314">
        <v>1099.2</v>
      </c>
      <c r="G152" s="314">
        <v>0.1</v>
      </c>
      <c r="H152" s="314">
        <v>-0.54</v>
      </c>
      <c r="I152" s="754">
        <v>6.4000000000000001E-2</v>
      </c>
      <c r="J152" s="767">
        <v>2</v>
      </c>
      <c r="K152" s="754">
        <v>42625</v>
      </c>
      <c r="L152" s="756" t="s">
        <v>308</v>
      </c>
      <c r="O152" s="197"/>
      <c r="T152" s="197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772" t="s">
        <v>254</v>
      </c>
      <c r="E155" s="773"/>
      <c r="F155" s="773"/>
      <c r="G155" s="773"/>
      <c r="H155" s="774"/>
      <c r="J155" s="778" t="s">
        <v>288</v>
      </c>
      <c r="K155" s="779"/>
      <c r="L155" s="779"/>
      <c r="M155" s="779"/>
    </row>
    <row r="156" spans="1:20" ht="30" customHeight="1" thickBot="1" x14ac:dyDescent="0.25">
      <c r="D156" s="775"/>
      <c r="E156" s="776"/>
      <c r="F156" s="776"/>
      <c r="G156" s="776"/>
      <c r="H156" s="777"/>
      <c r="J156" s="780" t="s">
        <v>211</v>
      </c>
      <c r="K156" s="781"/>
      <c r="L156" s="781"/>
      <c r="M156" s="782"/>
    </row>
    <row r="157" spans="1:20" ht="30" customHeight="1" x14ac:dyDescent="0.2">
      <c r="D157" s="340" t="s">
        <v>157</v>
      </c>
      <c r="E157" s="769" t="s">
        <v>255</v>
      </c>
      <c r="F157" s="770"/>
      <c r="G157" s="770"/>
      <c r="H157" s="771"/>
      <c r="J157" s="341">
        <v>5</v>
      </c>
      <c r="K157" s="342" t="s">
        <v>213</v>
      </c>
      <c r="L157" s="343">
        <v>8200</v>
      </c>
      <c r="M157" s="232"/>
    </row>
    <row r="158" spans="1:20" ht="30" customHeight="1" thickBot="1" x14ac:dyDescent="0.25">
      <c r="D158" s="344"/>
      <c r="E158" s="345"/>
      <c r="F158" s="346"/>
      <c r="G158" s="346"/>
      <c r="H158" s="347"/>
      <c r="J158" s="341"/>
      <c r="K158" s="348"/>
      <c r="L158" s="348"/>
      <c r="M158" s="349"/>
    </row>
    <row r="159" spans="1:20" ht="30" customHeight="1" x14ac:dyDescent="0.2">
      <c r="D159" s="350" t="s">
        <v>256</v>
      </c>
      <c r="E159" s="351" t="s">
        <v>257</v>
      </c>
      <c r="F159" s="352"/>
      <c r="G159" s="352" t="s">
        <v>258</v>
      </c>
      <c r="H159" s="353"/>
      <c r="J159" s="341"/>
      <c r="K159" s="348"/>
      <c r="L159" s="348"/>
      <c r="M159" s="349"/>
    </row>
    <row r="160" spans="1:20" ht="30" customHeight="1" x14ac:dyDescent="0.2">
      <c r="B160" s="196" t="e">
        <f>IF(#REF!&lt;=('DATOS 1'!I151),"")</f>
        <v>#REF!</v>
      </c>
      <c r="D160" s="350" t="s">
        <v>259</v>
      </c>
      <c r="E160" s="351" t="s">
        <v>260</v>
      </c>
      <c r="F160" s="352"/>
      <c r="G160" s="352" t="s">
        <v>261</v>
      </c>
      <c r="H160" s="353"/>
      <c r="J160" s="341"/>
      <c r="K160" s="354"/>
      <c r="L160" s="348"/>
      <c r="M160" s="349"/>
    </row>
    <row r="161" spans="4:13" ht="30" customHeight="1" x14ac:dyDescent="0.2">
      <c r="D161" s="350" t="s">
        <v>262</v>
      </c>
      <c r="E161" s="351" t="s">
        <v>263</v>
      </c>
      <c r="F161" s="352"/>
      <c r="G161" s="352" t="s">
        <v>264</v>
      </c>
      <c r="H161" s="353"/>
      <c r="J161" s="341"/>
      <c r="K161" s="355"/>
      <c r="L161" s="356"/>
      <c r="M161" s="357"/>
    </row>
    <row r="162" spans="4:13" ht="30" customHeight="1" thickBot="1" x14ac:dyDescent="0.25">
      <c r="D162" s="358" t="s">
        <v>265</v>
      </c>
      <c r="E162" s="359" t="s">
        <v>266</v>
      </c>
      <c r="F162" s="360"/>
      <c r="G162" s="361" t="s">
        <v>267</v>
      </c>
      <c r="H162" s="362"/>
      <c r="J162" s="341"/>
      <c r="K162" s="355"/>
      <c r="L162" s="355"/>
      <c r="M162" s="357"/>
    </row>
    <row r="163" spans="4:13" ht="30" customHeight="1" thickBot="1" x14ac:dyDescent="0.25">
      <c r="J163" s="363"/>
      <c r="K163" s="364"/>
      <c r="L163" s="365"/>
      <c r="M163" s="366"/>
    </row>
    <row r="164" spans="4:13" ht="30" customHeight="1" x14ac:dyDescent="0.2"/>
    <row r="165" spans="4:13" ht="30" customHeight="1" x14ac:dyDescent="0.2"/>
    <row r="199" spans="64:67" ht="35.1" customHeight="1" x14ac:dyDescent="0.25">
      <c r="BL199" s="367"/>
      <c r="BM199" s="367"/>
      <c r="BN199" s="367"/>
      <c r="BO199" s="367"/>
    </row>
    <row r="200" spans="64:67" ht="35.1" customHeight="1" x14ac:dyDescent="0.25">
      <c r="BL200" s="367"/>
      <c r="BM200" s="367"/>
      <c r="BN200" s="367"/>
      <c r="BO200" s="367"/>
    </row>
    <row r="201" spans="64:67" ht="35.1" customHeight="1" x14ac:dyDescent="0.25">
      <c r="BL201" s="367"/>
      <c r="BM201" s="367"/>
      <c r="BN201" s="367"/>
      <c r="BO201" s="367"/>
    </row>
    <row r="202" spans="64:67" ht="35.1" customHeight="1" x14ac:dyDescent="0.25">
      <c r="BL202" s="367"/>
      <c r="BM202" s="367"/>
      <c r="BN202" s="367"/>
      <c r="BO202" s="367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L7" zoomScale="70" zoomScaleNormal="20" zoomScaleSheetLayoutView="70" workbookViewId="0">
      <selection activeCell="D17" sqref="D17:L17"/>
    </sheetView>
  </sheetViews>
  <sheetFormatPr baseColWidth="10" defaultColWidth="15.7109375" defaultRowHeight="15" x14ac:dyDescent="0.2"/>
  <cols>
    <col min="1" max="1" width="15.7109375" style="196"/>
    <col min="2" max="14" width="20.7109375" style="196" customWidth="1"/>
    <col min="15" max="16" width="20.7109375" style="198" customWidth="1"/>
    <col min="17" max="17" width="24.28515625" style="198" customWidth="1"/>
    <col min="18" max="26" width="20.7109375" style="198" customWidth="1"/>
    <col min="27" max="33" width="20.7109375" style="196" customWidth="1"/>
    <col min="34" max="34" width="19.85546875" style="196" bestFit="1" customWidth="1"/>
    <col min="35" max="38" width="15.85546875" style="196" bestFit="1" customWidth="1"/>
    <col min="39" max="43" width="16" style="196" customWidth="1"/>
    <col min="44" max="47" width="10.7109375" style="196" customWidth="1"/>
    <col min="48" max="48" width="16" style="196" bestFit="1" customWidth="1"/>
    <col min="49" max="49" width="15.85546875" style="196" bestFit="1" customWidth="1"/>
    <col min="50" max="50" width="20.7109375" style="196" bestFit="1" customWidth="1"/>
    <col min="51" max="51" width="15.85546875" style="196" bestFit="1" customWidth="1"/>
    <col min="52" max="52" width="15.7109375" style="196"/>
    <col min="53" max="53" width="20" style="196" customWidth="1"/>
    <col min="54" max="55" width="10.7109375" style="196" customWidth="1"/>
    <col min="56" max="16384" width="15.7109375" style="196"/>
  </cols>
  <sheetData>
    <row r="1" spans="2:83" ht="30" customHeight="1" x14ac:dyDescent="0.2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2:83" ht="30" customHeight="1" thickBot="1" x14ac:dyDescent="0.25"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83" ht="30" customHeight="1" x14ac:dyDescent="0.2">
      <c r="B3" s="197"/>
      <c r="C3" s="856" t="s">
        <v>156</v>
      </c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8"/>
    </row>
    <row r="4" spans="2:83" ht="30" customHeight="1" thickBot="1" x14ac:dyDescent="0.25">
      <c r="B4" s="197"/>
      <c r="C4" s="859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1"/>
    </row>
    <row r="5" spans="2:83" ht="30" customHeight="1" x14ac:dyDescent="0.2">
      <c r="B5" s="197"/>
      <c r="C5" s="850" t="s">
        <v>157</v>
      </c>
      <c r="D5" s="623" t="s">
        <v>7</v>
      </c>
      <c r="E5" s="623" t="s">
        <v>158</v>
      </c>
      <c r="F5" s="623" t="s">
        <v>8</v>
      </c>
      <c r="G5" s="623" t="s">
        <v>76</v>
      </c>
      <c r="H5" s="623" t="s">
        <v>159</v>
      </c>
      <c r="I5" s="623" t="s">
        <v>83</v>
      </c>
      <c r="J5" s="623" t="s">
        <v>322</v>
      </c>
      <c r="K5" s="623" t="s">
        <v>161</v>
      </c>
      <c r="L5" s="783"/>
      <c r="M5" s="852" t="s">
        <v>377</v>
      </c>
      <c r="N5" s="854" t="s">
        <v>378</v>
      </c>
    </row>
    <row r="6" spans="2:83" ht="30" customHeight="1" thickBot="1" x14ac:dyDescent="0.25">
      <c r="B6" s="197"/>
      <c r="C6" s="851"/>
      <c r="D6" s="624"/>
      <c r="E6" s="624"/>
      <c r="F6" s="624"/>
      <c r="G6" s="624"/>
      <c r="H6" s="624"/>
      <c r="I6" s="624"/>
      <c r="J6" s="624"/>
      <c r="K6" s="624"/>
      <c r="L6" s="784"/>
      <c r="M6" s="853" t="s">
        <v>377</v>
      </c>
      <c r="N6" s="855"/>
    </row>
    <row r="7" spans="2:83" ht="30" customHeight="1" x14ac:dyDescent="0.2">
      <c r="B7" s="197"/>
      <c r="C7" s="451"/>
      <c r="D7" s="452"/>
      <c r="E7" s="452"/>
      <c r="F7" s="452"/>
      <c r="G7" s="452"/>
      <c r="H7" s="452"/>
      <c r="I7" s="452"/>
      <c r="J7" s="452"/>
      <c r="K7" s="452"/>
      <c r="L7" s="453"/>
      <c r="M7" s="458"/>
      <c r="N7" s="453"/>
    </row>
    <row r="8" spans="2:83" s="213" customFormat="1" ht="60" customHeight="1" x14ac:dyDescent="0.2">
      <c r="B8" s="205"/>
      <c r="C8" s="206">
        <v>1</v>
      </c>
      <c r="D8" s="207"/>
      <c r="E8" s="208"/>
      <c r="F8" s="209"/>
      <c r="G8" s="209"/>
      <c r="H8" s="209"/>
      <c r="I8" s="208"/>
      <c r="J8" s="207"/>
      <c r="K8" s="207"/>
      <c r="L8" s="538"/>
      <c r="M8" s="454">
        <v>2</v>
      </c>
      <c r="N8" s="457">
        <v>0.95450000000000002</v>
      </c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CD8" s="196"/>
      <c r="CE8" s="196"/>
    </row>
    <row r="9" spans="2:83" s="213" customFormat="1" ht="30" customHeight="1" thickBot="1" x14ac:dyDescent="0.25">
      <c r="B9" s="205"/>
      <c r="C9" s="214"/>
      <c r="D9" s="215"/>
      <c r="E9" s="215"/>
      <c r="F9" s="215"/>
      <c r="G9" s="215"/>
      <c r="H9" s="215"/>
      <c r="I9" s="215"/>
      <c r="J9" s="215"/>
      <c r="K9" s="215"/>
      <c r="L9" s="450"/>
      <c r="M9" s="455"/>
      <c r="N9" s="45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CD9" s="196"/>
      <c r="CE9" s="196"/>
    </row>
    <row r="10" spans="2:83" s="213" customFormat="1" ht="30" customHeight="1" x14ac:dyDescent="0.2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197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CD10" s="196"/>
      <c r="CE10" s="196"/>
    </row>
    <row r="11" spans="2:83" s="213" customFormat="1" ht="30" customHeight="1" thickBot="1" x14ac:dyDescent="0.2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197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CD11" s="196"/>
      <c r="CE11" s="196"/>
    </row>
    <row r="12" spans="2:83" s="213" customFormat="1" ht="30" customHeight="1" x14ac:dyDescent="0.2">
      <c r="B12" s="205"/>
      <c r="C12" s="844" t="s">
        <v>278</v>
      </c>
      <c r="D12" s="845"/>
      <c r="E12" s="845"/>
      <c r="F12" s="845"/>
      <c r="G12" s="845"/>
      <c r="H12" s="845"/>
      <c r="I12" s="845"/>
      <c r="J12" s="845"/>
      <c r="K12" s="845"/>
      <c r="L12" s="846"/>
      <c r="M12" s="197"/>
      <c r="N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CD12" s="196"/>
      <c r="CE12" s="196"/>
    </row>
    <row r="13" spans="2:83" ht="30" customHeight="1" thickBot="1" x14ac:dyDescent="0.25">
      <c r="B13" s="205"/>
      <c r="C13" s="847"/>
      <c r="D13" s="848"/>
      <c r="E13" s="848"/>
      <c r="F13" s="848"/>
      <c r="G13" s="848"/>
      <c r="H13" s="848"/>
      <c r="I13" s="848"/>
      <c r="J13" s="848"/>
      <c r="K13" s="848"/>
      <c r="L13" s="849"/>
      <c r="M13" s="197"/>
    </row>
    <row r="14" spans="2:83" ht="30" customHeight="1" x14ac:dyDescent="0.2">
      <c r="B14" s="205"/>
      <c r="C14" s="615" t="s">
        <v>157</v>
      </c>
      <c r="D14" s="617" t="s">
        <v>3</v>
      </c>
      <c r="E14" s="617" t="s">
        <v>9</v>
      </c>
      <c r="F14" s="617" t="s">
        <v>1</v>
      </c>
      <c r="G14" s="619" t="s">
        <v>427</v>
      </c>
      <c r="H14" s="619" t="s">
        <v>48</v>
      </c>
      <c r="I14" s="617" t="s">
        <v>428</v>
      </c>
      <c r="J14" s="621" t="s">
        <v>324</v>
      </c>
      <c r="K14" s="623" t="s">
        <v>322</v>
      </c>
      <c r="L14" s="625" t="s">
        <v>429</v>
      </c>
      <c r="M14" s="197"/>
    </row>
    <row r="15" spans="2:83" ht="30" customHeight="1" thickBot="1" x14ac:dyDescent="0.25">
      <c r="B15" s="205"/>
      <c r="C15" s="616"/>
      <c r="D15" s="618"/>
      <c r="E15" s="618"/>
      <c r="F15" s="618"/>
      <c r="G15" s="620"/>
      <c r="H15" s="620"/>
      <c r="I15" s="618"/>
      <c r="J15" s="622"/>
      <c r="K15" s="624"/>
      <c r="L15" s="626"/>
      <c r="M15" s="197"/>
    </row>
    <row r="16" spans="2:83" ht="30" customHeight="1" x14ac:dyDescent="0.2">
      <c r="B16" s="205"/>
      <c r="C16" s="201"/>
      <c r="D16" s="202"/>
      <c r="E16" s="202"/>
      <c r="F16" s="202"/>
      <c r="G16" s="202"/>
      <c r="H16" s="202"/>
      <c r="I16" s="202"/>
      <c r="J16" s="202"/>
      <c r="K16" s="202"/>
      <c r="L16" s="203"/>
      <c r="M16" s="197"/>
    </row>
    <row r="17" spans="2:46" ht="30" customHeight="1" x14ac:dyDescent="0.2">
      <c r="B17" s="205"/>
      <c r="C17" s="206">
        <v>1</v>
      </c>
      <c r="D17" s="209"/>
      <c r="E17" s="209"/>
      <c r="F17" s="209"/>
      <c r="G17" s="209"/>
      <c r="H17" s="209"/>
      <c r="I17" s="209"/>
      <c r="J17" s="209"/>
      <c r="K17" s="209"/>
      <c r="L17" s="217"/>
      <c r="M17" s="197"/>
    </row>
    <row r="18" spans="2:46" ht="30" customHeight="1" thickBot="1" x14ac:dyDescent="0.25">
      <c r="B18" s="205"/>
      <c r="C18" s="218"/>
      <c r="D18" s="219"/>
      <c r="E18" s="219"/>
      <c r="F18" s="219"/>
      <c r="G18" s="220"/>
      <c r="H18" s="220"/>
      <c r="I18" s="219"/>
      <c r="J18" s="219"/>
      <c r="K18" s="220"/>
      <c r="L18" s="221"/>
      <c r="M18" s="197"/>
    </row>
    <row r="19" spans="2:46" ht="30" customHeight="1" x14ac:dyDescent="0.2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197"/>
    </row>
    <row r="20" spans="2:46" ht="30" customHeight="1" x14ac:dyDescent="0.2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197"/>
      <c r="AS20" s="205"/>
      <c r="AT20" s="197"/>
    </row>
    <row r="21" spans="2:46" ht="30" customHeight="1" x14ac:dyDescent="0.2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197"/>
      <c r="AS21" s="205"/>
      <c r="AT21" s="197"/>
    </row>
    <row r="22" spans="2:46" ht="30" customHeight="1" thickBot="1" x14ac:dyDescent="0.2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197"/>
      <c r="AS22" s="205"/>
      <c r="AT22" s="197"/>
    </row>
    <row r="23" spans="2:46" ht="30" customHeight="1" x14ac:dyDescent="0.2">
      <c r="B23" s="205"/>
      <c r="C23" s="856" t="s">
        <v>285</v>
      </c>
      <c r="D23" s="857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8"/>
      <c r="AS23" s="205"/>
      <c r="AT23" s="197"/>
    </row>
    <row r="24" spans="2:46" ht="30" customHeight="1" thickBot="1" x14ac:dyDescent="0.25">
      <c r="B24" s="205"/>
      <c r="C24" s="859"/>
      <c r="D24" s="860"/>
      <c r="E24" s="860"/>
      <c r="F24" s="860"/>
      <c r="G24" s="860"/>
      <c r="H24" s="860"/>
      <c r="I24" s="860"/>
      <c r="J24" s="860"/>
      <c r="K24" s="860"/>
      <c r="L24" s="860"/>
      <c r="M24" s="860"/>
      <c r="N24" s="860"/>
      <c r="O24" s="860"/>
      <c r="P24" s="860"/>
      <c r="Q24" s="860"/>
      <c r="R24" s="861"/>
      <c r="AS24" s="205"/>
      <c r="AT24" s="197"/>
    </row>
    <row r="25" spans="2:46" ht="30" customHeight="1" x14ac:dyDescent="0.2">
      <c r="B25" s="205"/>
      <c r="C25" s="627" t="s">
        <v>162</v>
      </c>
      <c r="D25" s="629" t="s">
        <v>0</v>
      </c>
      <c r="E25" s="629" t="s">
        <v>3</v>
      </c>
      <c r="F25" s="629" t="s">
        <v>1</v>
      </c>
      <c r="G25" s="629" t="s">
        <v>163</v>
      </c>
      <c r="H25" s="629" t="s">
        <v>161</v>
      </c>
      <c r="I25" s="631" t="s">
        <v>83</v>
      </c>
      <c r="J25" s="631" t="s">
        <v>164</v>
      </c>
      <c r="K25" s="645" t="s">
        <v>286</v>
      </c>
      <c r="L25" s="645" t="s">
        <v>287</v>
      </c>
      <c r="M25" s="629" t="s">
        <v>165</v>
      </c>
      <c r="N25" s="645" t="s">
        <v>292</v>
      </c>
      <c r="O25" s="631" t="s">
        <v>166</v>
      </c>
      <c r="P25" s="631" t="s">
        <v>330</v>
      </c>
      <c r="Q25" s="633" t="s">
        <v>167</v>
      </c>
      <c r="R25" s="865" t="s">
        <v>116</v>
      </c>
      <c r="AS25" s="205"/>
    </row>
    <row r="26" spans="2:46" ht="30" customHeight="1" thickBot="1" x14ac:dyDescent="0.25">
      <c r="B26" s="205"/>
      <c r="C26" s="628"/>
      <c r="D26" s="630"/>
      <c r="E26" s="630"/>
      <c r="F26" s="630"/>
      <c r="G26" s="630"/>
      <c r="H26" s="630"/>
      <c r="I26" s="632"/>
      <c r="J26" s="632"/>
      <c r="K26" s="646"/>
      <c r="L26" s="646"/>
      <c r="M26" s="630"/>
      <c r="N26" s="646"/>
      <c r="O26" s="632"/>
      <c r="P26" s="632"/>
      <c r="Q26" s="634"/>
      <c r="R26" s="866"/>
      <c r="AS26" s="205"/>
    </row>
    <row r="27" spans="2:46" ht="30" customHeight="1" thickBot="1" x14ac:dyDescent="0.25">
      <c r="B27" s="205"/>
      <c r="C27" s="368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369"/>
      <c r="R27" s="370"/>
      <c r="AS27" s="205"/>
    </row>
    <row r="28" spans="2:46" ht="30" customHeight="1" thickBot="1" x14ac:dyDescent="0.25">
      <c r="B28" s="862" t="s">
        <v>295</v>
      </c>
      <c r="C28" s="418" t="s">
        <v>279</v>
      </c>
      <c r="D28" s="383" t="s">
        <v>284</v>
      </c>
      <c r="E28" s="383" t="s">
        <v>233</v>
      </c>
      <c r="F28" s="383" t="s">
        <v>234</v>
      </c>
      <c r="G28" s="383" t="s">
        <v>235</v>
      </c>
      <c r="H28" s="383" t="s">
        <v>388</v>
      </c>
      <c r="I28" s="384">
        <v>43244</v>
      </c>
      <c r="J28" s="383">
        <v>5</v>
      </c>
      <c r="K28" s="383">
        <v>5</v>
      </c>
      <c r="L28" s="383">
        <v>100</v>
      </c>
      <c r="M28" s="385">
        <v>7.0000000000000007E-2</v>
      </c>
      <c r="N28" s="386">
        <f>J28+(M28)/1000</f>
        <v>5.00007</v>
      </c>
      <c r="O28" s="385">
        <v>5.2999999999999999E-2</v>
      </c>
      <c r="P28" s="387">
        <f>(0.34848*((751.3+754.3)/2)-0.009024*((53.5+55.8)/2)*EXP(0.0612*((19.8+20.6)/2)))/(273.15+((19.8+20.6)/2))</f>
        <v>0.88848803069573967</v>
      </c>
      <c r="Q28" s="383" t="s">
        <v>291</v>
      </c>
      <c r="R28" s="388" t="s">
        <v>387</v>
      </c>
      <c r="AS28" s="205"/>
    </row>
    <row r="29" spans="2:46" ht="30" customHeight="1" thickBot="1" x14ac:dyDescent="0.25">
      <c r="B29" s="863"/>
      <c r="C29" s="419" t="s">
        <v>280</v>
      </c>
      <c r="D29" s="389" t="s">
        <v>284</v>
      </c>
      <c r="E29" s="389" t="s">
        <v>233</v>
      </c>
      <c r="F29" s="389" t="s">
        <v>234</v>
      </c>
      <c r="G29" s="389" t="s">
        <v>235</v>
      </c>
      <c r="H29" s="383" t="s">
        <v>388</v>
      </c>
      <c r="I29" s="384">
        <v>43244</v>
      </c>
      <c r="J29" s="389">
        <v>200</v>
      </c>
      <c r="K29" s="389">
        <v>10</v>
      </c>
      <c r="L29" s="389">
        <v>200</v>
      </c>
      <c r="M29" s="389">
        <v>0.1</v>
      </c>
      <c r="N29" s="390">
        <f t="shared" ref="N29:N32" si="0">J29+(M29)/1000</f>
        <v>200.0001</v>
      </c>
      <c r="O29" s="391">
        <v>0.33</v>
      </c>
      <c r="P29" s="392">
        <f t="shared" ref="P29:P32" si="1">(0.34848*((751.3+754.3)/2)-0.009024*((53.5+55.8)/2)*EXP(0.0612*((19.8+20.6)/2)))/(273.15+((19.8+20.6)/2))</f>
        <v>0.88848803069573967</v>
      </c>
      <c r="Q29" s="389" t="s">
        <v>291</v>
      </c>
      <c r="R29" s="388" t="s">
        <v>387</v>
      </c>
      <c r="AS29" s="205"/>
    </row>
    <row r="30" spans="2:46" ht="30" customHeight="1" thickBot="1" x14ac:dyDescent="0.25">
      <c r="B30" s="863"/>
      <c r="C30" s="419" t="s">
        <v>281</v>
      </c>
      <c r="D30" s="389" t="s">
        <v>284</v>
      </c>
      <c r="E30" s="389" t="s">
        <v>233</v>
      </c>
      <c r="F30" s="389" t="s">
        <v>234</v>
      </c>
      <c r="G30" s="389" t="s">
        <v>235</v>
      </c>
      <c r="H30" s="383" t="s">
        <v>388</v>
      </c>
      <c r="I30" s="384">
        <v>43244</v>
      </c>
      <c r="J30" s="389">
        <v>1000</v>
      </c>
      <c r="K30" s="389">
        <v>200</v>
      </c>
      <c r="L30" s="389">
        <v>500</v>
      </c>
      <c r="M30" s="389">
        <v>0.5</v>
      </c>
      <c r="N30" s="392">
        <f t="shared" si="0"/>
        <v>1000.0005</v>
      </c>
      <c r="O30" s="391">
        <v>1.6</v>
      </c>
      <c r="P30" s="392">
        <f t="shared" si="1"/>
        <v>0.88848803069573967</v>
      </c>
      <c r="Q30" s="389" t="s">
        <v>291</v>
      </c>
      <c r="R30" s="388" t="s">
        <v>387</v>
      </c>
      <c r="AS30" s="205"/>
    </row>
    <row r="31" spans="2:46" ht="30" customHeight="1" thickBot="1" x14ac:dyDescent="0.25">
      <c r="B31" s="863"/>
      <c r="C31" s="419" t="s">
        <v>282</v>
      </c>
      <c r="D31" s="389" t="s">
        <v>284</v>
      </c>
      <c r="E31" s="389" t="s">
        <v>233</v>
      </c>
      <c r="F31" s="389" t="s">
        <v>234</v>
      </c>
      <c r="G31" s="389" t="s">
        <v>235</v>
      </c>
      <c r="H31" s="383" t="s">
        <v>388</v>
      </c>
      <c r="I31" s="384">
        <v>43244</v>
      </c>
      <c r="J31" s="389">
        <v>2000</v>
      </c>
      <c r="K31" s="389">
        <v>1000</v>
      </c>
      <c r="L31" s="389">
        <v>1000</v>
      </c>
      <c r="M31" s="389">
        <v>3.6</v>
      </c>
      <c r="N31" s="392">
        <f t="shared" si="0"/>
        <v>2000.0036</v>
      </c>
      <c r="O31" s="391">
        <v>3</v>
      </c>
      <c r="P31" s="392">
        <f t="shared" si="1"/>
        <v>0.88848803069573967</v>
      </c>
      <c r="Q31" s="389" t="s">
        <v>291</v>
      </c>
      <c r="R31" s="388" t="s">
        <v>387</v>
      </c>
      <c r="AS31" s="205"/>
    </row>
    <row r="32" spans="2:46" ht="30" customHeight="1" thickBot="1" x14ac:dyDescent="0.25">
      <c r="B32" s="864"/>
      <c r="C32" s="420" t="s">
        <v>283</v>
      </c>
      <c r="D32" s="393" t="s">
        <v>284</v>
      </c>
      <c r="E32" s="393" t="s">
        <v>233</v>
      </c>
      <c r="F32" s="393" t="s">
        <v>234</v>
      </c>
      <c r="G32" s="393" t="s">
        <v>235</v>
      </c>
      <c r="H32" s="394" t="s">
        <v>388</v>
      </c>
      <c r="I32" s="395">
        <v>43244</v>
      </c>
      <c r="J32" s="393">
        <v>5000</v>
      </c>
      <c r="K32" s="393">
        <v>2000</v>
      </c>
      <c r="L32" s="393">
        <v>2000</v>
      </c>
      <c r="M32" s="393">
        <v>3.7</v>
      </c>
      <c r="N32" s="396">
        <f t="shared" si="0"/>
        <v>5000.0037000000002</v>
      </c>
      <c r="O32" s="397">
        <v>8</v>
      </c>
      <c r="P32" s="398">
        <f t="shared" si="1"/>
        <v>0.88848803069573967</v>
      </c>
      <c r="Q32" s="399" t="s">
        <v>291</v>
      </c>
      <c r="R32" s="400" t="s">
        <v>387</v>
      </c>
      <c r="AS32" s="205"/>
    </row>
    <row r="33" spans="2:45" ht="30" customHeight="1" x14ac:dyDescent="0.2">
      <c r="B33" s="248"/>
      <c r="C33" s="226"/>
      <c r="D33" s="227"/>
      <c r="E33" s="227"/>
      <c r="F33" s="227"/>
      <c r="G33" s="227"/>
      <c r="H33" s="227"/>
      <c r="I33" s="228"/>
      <c r="J33" s="227"/>
      <c r="K33" s="227"/>
      <c r="L33" s="227"/>
      <c r="M33" s="227"/>
      <c r="N33" s="249"/>
      <c r="O33" s="227"/>
      <c r="P33" s="227"/>
      <c r="Q33" s="227"/>
      <c r="R33" s="232"/>
      <c r="AS33" s="205"/>
    </row>
    <row r="34" spans="2:45" ht="30" customHeight="1" x14ac:dyDescent="0.2">
      <c r="B34" s="248"/>
      <c r="C34" s="233"/>
      <c r="D34" s="234"/>
      <c r="E34" s="234"/>
      <c r="F34" s="234"/>
      <c r="G34" s="234"/>
      <c r="H34" s="234"/>
      <c r="I34" s="235"/>
      <c r="J34" s="234"/>
      <c r="K34" s="234"/>
      <c r="L34" s="234"/>
      <c r="M34" s="234"/>
      <c r="N34" s="240"/>
      <c r="O34" s="234"/>
      <c r="P34" s="234"/>
      <c r="Q34" s="234"/>
      <c r="R34" s="250"/>
      <c r="AS34" s="205"/>
    </row>
    <row r="35" spans="2:45" ht="30" customHeight="1" x14ac:dyDescent="0.2">
      <c r="B35" s="248"/>
      <c r="C35" s="233"/>
      <c r="D35" s="234"/>
      <c r="E35" s="234"/>
      <c r="F35" s="234"/>
      <c r="G35" s="234"/>
      <c r="H35" s="234"/>
      <c r="I35" s="235"/>
      <c r="J35" s="234"/>
      <c r="K35" s="234"/>
      <c r="L35" s="234"/>
      <c r="M35" s="234"/>
      <c r="N35" s="240"/>
      <c r="O35" s="234"/>
      <c r="P35" s="234"/>
      <c r="Q35" s="234"/>
      <c r="R35" s="250"/>
      <c r="AS35" s="205"/>
    </row>
    <row r="36" spans="2:45" ht="30" customHeight="1" thickBot="1" x14ac:dyDescent="0.25">
      <c r="B36" s="248"/>
      <c r="C36" s="251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4"/>
      <c r="O36" s="252"/>
      <c r="P36" s="252"/>
      <c r="Q36" s="252"/>
      <c r="R36" s="255"/>
      <c r="AS36" s="205"/>
    </row>
    <row r="37" spans="2:45" ht="30" customHeight="1" thickBot="1" x14ac:dyDescent="0.25">
      <c r="B37" s="205"/>
      <c r="C37" s="256"/>
      <c r="D37" s="257"/>
      <c r="E37" s="257"/>
      <c r="F37" s="257"/>
      <c r="G37" s="257"/>
      <c r="H37" s="257"/>
      <c r="I37" s="257"/>
      <c r="J37" s="257"/>
      <c r="M37" s="257"/>
      <c r="N37" s="257"/>
      <c r="O37" s="257"/>
      <c r="P37" s="258"/>
      <c r="Q37" s="257"/>
      <c r="R37" s="247"/>
      <c r="AS37" s="205"/>
    </row>
    <row r="38" spans="2:45" ht="30" customHeight="1" thickBot="1" x14ac:dyDescent="0.25">
      <c r="B38" s="872" t="s">
        <v>418</v>
      </c>
      <c r="C38" s="418" t="s">
        <v>168</v>
      </c>
      <c r="D38" s="383" t="s">
        <v>169</v>
      </c>
      <c r="E38" s="383" t="s">
        <v>152</v>
      </c>
      <c r="F38" s="383">
        <v>27129360</v>
      </c>
      <c r="G38" s="383" t="s">
        <v>170</v>
      </c>
      <c r="H38" s="383" t="s">
        <v>389</v>
      </c>
      <c r="I38" s="384">
        <v>43228</v>
      </c>
      <c r="J38" s="383">
        <v>1</v>
      </c>
      <c r="K38" s="383">
        <v>4000</v>
      </c>
      <c r="L38" s="383">
        <v>5000</v>
      </c>
      <c r="M38" s="383">
        <v>8.9999999999999993E-3</v>
      </c>
      <c r="N38" s="386">
        <f>J38+(M38)/1000</f>
        <v>1.0000089999999999</v>
      </c>
      <c r="O38" s="403">
        <v>0.01</v>
      </c>
      <c r="P38" s="387">
        <f>(0.34848*((751.2+755.4)/2)-0.009024*((48.4+57.9)/2)*EXP(0.0612*((19.5+20.7)/2)))/(273.15+((19.5+20.7)/2))</f>
        <v>0.88957844095478944</v>
      </c>
      <c r="Q38" s="383" t="s">
        <v>171</v>
      </c>
      <c r="R38" s="232" t="s">
        <v>298</v>
      </c>
      <c r="AS38" s="205"/>
    </row>
    <row r="39" spans="2:45" ht="30" customHeight="1" thickBot="1" x14ac:dyDescent="0.25">
      <c r="B39" s="873"/>
      <c r="C39" s="419" t="s">
        <v>172</v>
      </c>
      <c r="D39" s="389" t="s">
        <v>169</v>
      </c>
      <c r="E39" s="389" t="s">
        <v>152</v>
      </c>
      <c r="F39" s="389">
        <v>27129360</v>
      </c>
      <c r="G39" s="389" t="s">
        <v>173</v>
      </c>
      <c r="H39" s="383" t="s">
        <v>389</v>
      </c>
      <c r="I39" s="384">
        <v>43228</v>
      </c>
      <c r="J39" s="389">
        <v>2</v>
      </c>
      <c r="K39" s="389">
        <v>5000</v>
      </c>
      <c r="L39" s="389">
        <v>6000</v>
      </c>
      <c r="M39" s="401">
        <v>0.01</v>
      </c>
      <c r="N39" s="402">
        <f t="shared" ref="N39:N88" si="2">J39+(M39)/1000</f>
        <v>2.0000100000000001</v>
      </c>
      <c r="O39" s="389">
        <v>1.2E-2</v>
      </c>
      <c r="P39" s="392">
        <f>(0.34848*((751.2+755.4)/2)-0.009024*((48.4+57.9)/2)*EXP(0.0612*((19.5+20.7)/2)))/(273.15+((19.5+20.7)/2))</f>
        <v>0.88957844095478944</v>
      </c>
      <c r="Q39" s="389" t="str">
        <f t="shared" ref="Q39:Q54" si="3">Q38</f>
        <v>M-001</v>
      </c>
      <c r="R39" s="250" t="s">
        <v>298</v>
      </c>
      <c r="AS39" s="205"/>
    </row>
    <row r="40" spans="2:45" ht="30" customHeight="1" thickBot="1" x14ac:dyDescent="0.25">
      <c r="B40" s="873"/>
      <c r="C40" s="419" t="s">
        <v>174</v>
      </c>
      <c r="D40" s="389" t="s">
        <v>169</v>
      </c>
      <c r="E40" s="389" t="s">
        <v>152</v>
      </c>
      <c r="F40" s="389">
        <v>27129360</v>
      </c>
      <c r="G40" s="389" t="s">
        <v>175</v>
      </c>
      <c r="H40" s="383" t="s">
        <v>389</v>
      </c>
      <c r="I40" s="384">
        <v>43228</v>
      </c>
      <c r="J40" s="389">
        <v>2</v>
      </c>
      <c r="K40" s="389">
        <v>10000</v>
      </c>
      <c r="L40" s="389">
        <v>7000</v>
      </c>
      <c r="M40" s="389">
        <v>1.7000000000000001E-2</v>
      </c>
      <c r="N40" s="402">
        <f t="shared" si="2"/>
        <v>2.0000170000000002</v>
      </c>
      <c r="O40" s="389">
        <v>1.2E-2</v>
      </c>
      <c r="P40" s="392">
        <f>(0.34848*((751.2+755.4)/2)-0.009024*((48.4+57.9)/2)*EXP(0.0612*((19.5+20.7)/2)))/(273.15+((19.5+20.7)/2))</f>
        <v>0.88957844095478944</v>
      </c>
      <c r="Q40" s="389" t="str">
        <f t="shared" si="3"/>
        <v>M-001</v>
      </c>
      <c r="R40" s="250" t="s">
        <v>298</v>
      </c>
      <c r="AS40" s="205"/>
    </row>
    <row r="41" spans="2:45" ht="30" customHeight="1" thickBot="1" x14ac:dyDescent="0.25">
      <c r="B41" s="873"/>
      <c r="C41" s="419" t="s">
        <v>176</v>
      </c>
      <c r="D41" s="389" t="s">
        <v>169</v>
      </c>
      <c r="E41" s="389" t="s">
        <v>152</v>
      </c>
      <c r="F41" s="389">
        <v>27129360</v>
      </c>
      <c r="G41" s="389" t="s">
        <v>177</v>
      </c>
      <c r="H41" s="383" t="s">
        <v>389</v>
      </c>
      <c r="I41" s="384">
        <v>43228</v>
      </c>
      <c r="J41" s="389">
        <v>5</v>
      </c>
      <c r="K41" s="389">
        <v>15000</v>
      </c>
      <c r="L41" s="389">
        <v>8000</v>
      </c>
      <c r="M41" s="401">
        <v>2E-3</v>
      </c>
      <c r="N41" s="402">
        <f t="shared" si="2"/>
        <v>5.0000020000000003</v>
      </c>
      <c r="O41" s="389">
        <v>1.6E-2</v>
      </c>
      <c r="P41" s="392">
        <f>(0.34848*((751.2+755.4)/2)-0.009024*((48.4+57.9)/2)*EXP(0.0612*((19.5+20.7)/2)))/(273.15+((19.5+20.7)/2))</f>
        <v>0.88957844095478944</v>
      </c>
      <c r="Q41" s="389" t="str">
        <f t="shared" si="3"/>
        <v>M-001</v>
      </c>
      <c r="R41" s="250" t="s">
        <v>298</v>
      </c>
      <c r="AS41" s="205"/>
    </row>
    <row r="42" spans="2:45" ht="30" customHeight="1" thickBot="1" x14ac:dyDescent="0.25">
      <c r="B42" s="873"/>
      <c r="C42" s="419" t="s">
        <v>178</v>
      </c>
      <c r="D42" s="389" t="s">
        <v>169</v>
      </c>
      <c r="E42" s="389" t="s">
        <v>152</v>
      </c>
      <c r="F42" s="389">
        <v>27129360</v>
      </c>
      <c r="G42" s="389" t="s">
        <v>179</v>
      </c>
      <c r="H42" s="383" t="s">
        <v>389</v>
      </c>
      <c r="I42" s="384">
        <v>43228</v>
      </c>
      <c r="J42" s="389">
        <v>10</v>
      </c>
      <c r="K42" s="389">
        <v>20000</v>
      </c>
      <c r="L42" s="389">
        <v>8200</v>
      </c>
      <c r="M42" s="389">
        <v>1.9E-2</v>
      </c>
      <c r="N42" s="402">
        <f t="shared" si="2"/>
        <v>10.000019</v>
      </c>
      <c r="O42" s="401">
        <v>0.02</v>
      </c>
      <c r="P42" s="392">
        <f t="shared" ref="P42:P54" si="4">(0.34848*((751.2+755.4)/2)-0.009024*((48.4+57.9)/2)*EXP(0.0612*((19.5+20.7)/2)))/(273.15+((19.5+20.7)/2))</f>
        <v>0.88957844095478944</v>
      </c>
      <c r="Q42" s="389" t="str">
        <f t="shared" si="3"/>
        <v>M-001</v>
      </c>
      <c r="R42" s="250" t="s">
        <v>298</v>
      </c>
      <c r="AS42" s="205"/>
    </row>
    <row r="43" spans="2:45" ht="30" customHeight="1" thickBot="1" x14ac:dyDescent="0.25">
      <c r="B43" s="873"/>
      <c r="C43" s="419" t="s">
        <v>180</v>
      </c>
      <c r="D43" s="389" t="s">
        <v>169</v>
      </c>
      <c r="E43" s="389" t="s">
        <v>152</v>
      </c>
      <c r="F43" s="389">
        <v>27129360</v>
      </c>
      <c r="G43" s="389" t="s">
        <v>181</v>
      </c>
      <c r="H43" s="383" t="s">
        <v>389</v>
      </c>
      <c r="I43" s="384">
        <v>43228</v>
      </c>
      <c r="J43" s="389">
        <v>20</v>
      </c>
      <c r="K43" s="389">
        <v>25000</v>
      </c>
      <c r="L43" s="389">
        <v>10000</v>
      </c>
      <c r="M43" s="389">
        <v>2.5999999999999999E-2</v>
      </c>
      <c r="N43" s="402">
        <f t="shared" si="2"/>
        <v>20.000025999999998</v>
      </c>
      <c r="O43" s="389">
        <v>2.5000000000000001E-2</v>
      </c>
      <c r="P43" s="392">
        <f t="shared" si="4"/>
        <v>0.88957844095478944</v>
      </c>
      <c r="Q43" s="389" t="str">
        <f t="shared" si="3"/>
        <v>M-001</v>
      </c>
      <c r="R43" s="250" t="s">
        <v>298</v>
      </c>
      <c r="AS43" s="205"/>
    </row>
    <row r="44" spans="2:45" ht="30" customHeight="1" thickBot="1" x14ac:dyDescent="0.25">
      <c r="B44" s="873"/>
      <c r="C44" s="419" t="s">
        <v>182</v>
      </c>
      <c r="D44" s="389" t="s">
        <v>169</v>
      </c>
      <c r="E44" s="389" t="s">
        <v>152</v>
      </c>
      <c r="F44" s="389">
        <v>27129360</v>
      </c>
      <c r="G44" s="389" t="s">
        <v>183</v>
      </c>
      <c r="H44" s="383" t="s">
        <v>389</v>
      </c>
      <c r="I44" s="384">
        <v>43228</v>
      </c>
      <c r="J44" s="389">
        <v>20</v>
      </c>
      <c r="K44" s="389">
        <v>30000</v>
      </c>
      <c r="L44" s="389">
        <v>12000</v>
      </c>
      <c r="M44" s="389">
        <v>7.0000000000000001E-3</v>
      </c>
      <c r="N44" s="402">
        <f t="shared" si="2"/>
        <v>20.000007</v>
      </c>
      <c r="O44" s="389">
        <v>2.5000000000000001E-2</v>
      </c>
      <c r="P44" s="392">
        <f t="shared" si="4"/>
        <v>0.88957844095478944</v>
      </c>
      <c r="Q44" s="389" t="str">
        <f t="shared" si="3"/>
        <v>M-001</v>
      </c>
      <c r="R44" s="250" t="s">
        <v>298</v>
      </c>
      <c r="AS44" s="205"/>
    </row>
    <row r="45" spans="2:45" ht="30" customHeight="1" thickBot="1" x14ac:dyDescent="0.25">
      <c r="B45" s="873"/>
      <c r="C45" s="419" t="s">
        <v>184</v>
      </c>
      <c r="D45" s="389" t="s">
        <v>169</v>
      </c>
      <c r="E45" s="389" t="s">
        <v>152</v>
      </c>
      <c r="F45" s="389">
        <v>27129360</v>
      </c>
      <c r="G45" s="389" t="s">
        <v>185</v>
      </c>
      <c r="H45" s="383" t="s">
        <v>389</v>
      </c>
      <c r="I45" s="384">
        <v>43228</v>
      </c>
      <c r="J45" s="389">
        <v>50</v>
      </c>
      <c r="K45" s="389">
        <v>40000</v>
      </c>
      <c r="L45" s="389">
        <v>15000</v>
      </c>
      <c r="M45" s="389">
        <v>0.03</v>
      </c>
      <c r="N45" s="390">
        <f t="shared" si="2"/>
        <v>50.000030000000002</v>
      </c>
      <c r="O45" s="389">
        <v>0.03</v>
      </c>
      <c r="P45" s="392">
        <f t="shared" si="4"/>
        <v>0.88957844095478944</v>
      </c>
      <c r="Q45" s="389" t="str">
        <f t="shared" si="3"/>
        <v>M-001</v>
      </c>
      <c r="R45" s="250" t="s">
        <v>298</v>
      </c>
      <c r="AS45" s="205"/>
    </row>
    <row r="46" spans="2:45" ht="30" customHeight="1" thickBot="1" x14ac:dyDescent="0.25">
      <c r="B46" s="873"/>
      <c r="C46" s="419" t="s">
        <v>186</v>
      </c>
      <c r="D46" s="389" t="s">
        <v>169</v>
      </c>
      <c r="E46" s="389" t="s">
        <v>152</v>
      </c>
      <c r="F46" s="389">
        <v>27129360</v>
      </c>
      <c r="G46" s="389" t="s">
        <v>187</v>
      </c>
      <c r="H46" s="383" t="s">
        <v>389</v>
      </c>
      <c r="I46" s="384">
        <v>43228</v>
      </c>
      <c r="J46" s="389">
        <v>100</v>
      </c>
      <c r="K46" s="421"/>
      <c r="L46" s="422">
        <v>20000</v>
      </c>
      <c r="M46" s="389">
        <v>0.06</v>
      </c>
      <c r="N46" s="390">
        <f t="shared" si="2"/>
        <v>100.00006</v>
      </c>
      <c r="O46" s="389">
        <v>0.05</v>
      </c>
      <c r="P46" s="392">
        <f t="shared" si="4"/>
        <v>0.88957844095478944</v>
      </c>
      <c r="Q46" s="389" t="str">
        <f t="shared" si="3"/>
        <v>M-001</v>
      </c>
      <c r="R46" s="250" t="s">
        <v>298</v>
      </c>
      <c r="AS46" s="205"/>
    </row>
    <row r="47" spans="2:45" ht="30" customHeight="1" thickBot="1" x14ac:dyDescent="0.25">
      <c r="B47" s="873"/>
      <c r="C47" s="419" t="s">
        <v>188</v>
      </c>
      <c r="D47" s="389" t="s">
        <v>169</v>
      </c>
      <c r="E47" s="389" t="s">
        <v>152</v>
      </c>
      <c r="F47" s="389">
        <v>27129360</v>
      </c>
      <c r="G47" s="389" t="s">
        <v>189</v>
      </c>
      <c r="H47" s="383" t="s">
        <v>389</v>
      </c>
      <c r="I47" s="384">
        <v>43228</v>
      </c>
      <c r="J47" s="389">
        <v>200</v>
      </c>
      <c r="K47" s="421"/>
      <c r="L47" s="422">
        <v>25000</v>
      </c>
      <c r="M47" s="389">
        <v>-7.0000000000000007E-2</v>
      </c>
      <c r="N47" s="390">
        <f t="shared" si="2"/>
        <v>199.99993000000001</v>
      </c>
      <c r="O47" s="404">
        <v>0.1</v>
      </c>
      <c r="P47" s="392">
        <f t="shared" si="4"/>
        <v>0.88957844095478944</v>
      </c>
      <c r="Q47" s="389" t="str">
        <f t="shared" si="3"/>
        <v>M-001</v>
      </c>
      <c r="R47" s="250" t="s">
        <v>298</v>
      </c>
      <c r="AS47" s="205"/>
    </row>
    <row r="48" spans="2:45" ht="30" customHeight="1" thickBot="1" x14ac:dyDescent="0.25">
      <c r="B48" s="873"/>
      <c r="C48" s="419" t="s">
        <v>190</v>
      </c>
      <c r="D48" s="389" t="s">
        <v>169</v>
      </c>
      <c r="E48" s="389" t="s">
        <v>152</v>
      </c>
      <c r="F48" s="389">
        <v>27129360</v>
      </c>
      <c r="G48" s="389" t="s">
        <v>191</v>
      </c>
      <c r="H48" s="383" t="s">
        <v>389</v>
      </c>
      <c r="I48" s="384">
        <v>43228</v>
      </c>
      <c r="J48" s="389">
        <v>200</v>
      </c>
      <c r="K48" s="421"/>
      <c r="L48" s="422">
        <v>30000</v>
      </c>
      <c r="M48" s="389">
        <v>0.15</v>
      </c>
      <c r="N48" s="390">
        <f t="shared" si="2"/>
        <v>200.00014999999999</v>
      </c>
      <c r="O48" s="404">
        <v>0.1</v>
      </c>
      <c r="P48" s="392">
        <f t="shared" si="4"/>
        <v>0.88957844095478944</v>
      </c>
      <c r="Q48" s="389" t="str">
        <f t="shared" si="3"/>
        <v>M-001</v>
      </c>
      <c r="R48" s="250" t="s">
        <v>298</v>
      </c>
      <c r="AS48" s="205"/>
    </row>
    <row r="49" spans="2:48" ht="30" customHeight="1" thickBot="1" x14ac:dyDescent="0.25">
      <c r="B49" s="873"/>
      <c r="C49" s="419" t="s">
        <v>192</v>
      </c>
      <c r="D49" s="389" t="s">
        <v>169</v>
      </c>
      <c r="E49" s="389" t="s">
        <v>152</v>
      </c>
      <c r="F49" s="389">
        <v>27129360</v>
      </c>
      <c r="G49" s="389" t="s">
        <v>193</v>
      </c>
      <c r="H49" s="383" t="s">
        <v>389</v>
      </c>
      <c r="I49" s="384">
        <v>43228</v>
      </c>
      <c r="J49" s="389">
        <v>500</v>
      </c>
      <c r="K49" s="421"/>
      <c r="L49" s="422">
        <v>35000</v>
      </c>
      <c r="M49" s="389">
        <v>0.33</v>
      </c>
      <c r="N49" s="390">
        <f t="shared" si="2"/>
        <v>500.00033000000002</v>
      </c>
      <c r="O49" s="389">
        <v>0.25</v>
      </c>
      <c r="P49" s="392">
        <f t="shared" si="4"/>
        <v>0.88957844095478944</v>
      </c>
      <c r="Q49" s="389" t="str">
        <f t="shared" si="3"/>
        <v>M-001</v>
      </c>
      <c r="R49" s="250" t="s">
        <v>298</v>
      </c>
      <c r="AS49" s="205"/>
    </row>
    <row r="50" spans="2:48" ht="30" customHeight="1" thickBot="1" x14ac:dyDescent="0.25">
      <c r="B50" s="873"/>
      <c r="C50" s="419" t="s">
        <v>194</v>
      </c>
      <c r="D50" s="389" t="s">
        <v>169</v>
      </c>
      <c r="E50" s="389" t="s">
        <v>152</v>
      </c>
      <c r="F50" s="389">
        <v>27129360</v>
      </c>
      <c r="G50" s="389" t="s">
        <v>195</v>
      </c>
      <c r="H50" s="383" t="s">
        <v>389</v>
      </c>
      <c r="I50" s="384">
        <v>43228</v>
      </c>
      <c r="J50" s="389">
        <v>1000</v>
      </c>
      <c r="K50" s="421"/>
      <c r="L50" s="422">
        <v>40000</v>
      </c>
      <c r="M50" s="389">
        <v>0.7</v>
      </c>
      <c r="N50" s="392">
        <f t="shared" si="2"/>
        <v>1000.0007000000001</v>
      </c>
      <c r="O50" s="389">
        <v>0.5</v>
      </c>
      <c r="P50" s="392">
        <f t="shared" si="4"/>
        <v>0.88957844095478944</v>
      </c>
      <c r="Q50" s="389" t="str">
        <f t="shared" si="3"/>
        <v>M-001</v>
      </c>
      <c r="R50" s="250" t="s">
        <v>298</v>
      </c>
      <c r="AS50" s="205"/>
    </row>
    <row r="51" spans="2:48" ht="30" customHeight="1" thickBot="1" x14ac:dyDescent="0.25">
      <c r="B51" s="873"/>
      <c r="C51" s="419" t="s">
        <v>196</v>
      </c>
      <c r="D51" s="389" t="s">
        <v>169</v>
      </c>
      <c r="E51" s="389" t="s">
        <v>152</v>
      </c>
      <c r="F51" s="389">
        <v>27129360</v>
      </c>
      <c r="G51" s="389" t="s">
        <v>197</v>
      </c>
      <c r="H51" s="383" t="s">
        <v>389</v>
      </c>
      <c r="I51" s="384">
        <v>43228</v>
      </c>
      <c r="J51" s="389">
        <v>2000</v>
      </c>
      <c r="K51" s="421"/>
      <c r="L51" s="422">
        <v>45000</v>
      </c>
      <c r="M51" s="389">
        <v>1.1000000000000001</v>
      </c>
      <c r="N51" s="392">
        <f t="shared" si="2"/>
        <v>2000.0011</v>
      </c>
      <c r="O51" s="391">
        <v>1</v>
      </c>
      <c r="P51" s="392">
        <f t="shared" si="4"/>
        <v>0.88957844095478944</v>
      </c>
      <c r="Q51" s="389" t="str">
        <f t="shared" si="3"/>
        <v>M-001</v>
      </c>
      <c r="R51" s="250" t="s">
        <v>298</v>
      </c>
      <c r="AS51" s="205"/>
    </row>
    <row r="52" spans="2:48" ht="30" customHeight="1" thickBot="1" x14ac:dyDescent="0.25">
      <c r="B52" s="873"/>
      <c r="C52" s="419" t="s">
        <v>198</v>
      </c>
      <c r="D52" s="389" t="s">
        <v>169</v>
      </c>
      <c r="E52" s="389" t="s">
        <v>152</v>
      </c>
      <c r="F52" s="389">
        <v>27129360</v>
      </c>
      <c r="G52" s="389" t="s">
        <v>199</v>
      </c>
      <c r="H52" s="383" t="s">
        <v>389</v>
      </c>
      <c r="I52" s="384">
        <v>43228</v>
      </c>
      <c r="J52" s="389">
        <v>2000</v>
      </c>
      <c r="K52" s="422"/>
      <c r="L52" s="422">
        <v>50000</v>
      </c>
      <c r="M52" s="391">
        <v>1</v>
      </c>
      <c r="N52" s="392">
        <f t="shared" si="2"/>
        <v>2000.001</v>
      </c>
      <c r="O52" s="391">
        <v>1</v>
      </c>
      <c r="P52" s="392">
        <f t="shared" si="4"/>
        <v>0.88957844095478944</v>
      </c>
      <c r="Q52" s="389" t="str">
        <f t="shared" si="3"/>
        <v>M-001</v>
      </c>
      <c r="R52" s="250" t="s">
        <v>298</v>
      </c>
      <c r="AS52" s="205"/>
    </row>
    <row r="53" spans="2:48" ht="30" customHeight="1" thickBot="1" x14ac:dyDescent="0.25">
      <c r="B53" s="873"/>
      <c r="C53" s="419" t="s">
        <v>200</v>
      </c>
      <c r="D53" s="389" t="s">
        <v>169</v>
      </c>
      <c r="E53" s="389" t="s">
        <v>152</v>
      </c>
      <c r="F53" s="389">
        <v>27129360</v>
      </c>
      <c r="G53" s="389" t="s">
        <v>201</v>
      </c>
      <c r="H53" s="383" t="s">
        <v>389</v>
      </c>
      <c r="I53" s="384">
        <v>43228</v>
      </c>
      <c r="J53" s="389">
        <v>5000</v>
      </c>
      <c r="K53" s="422"/>
      <c r="L53" s="421"/>
      <c r="M53" s="389">
        <v>3.5</v>
      </c>
      <c r="N53" s="392">
        <f t="shared" si="2"/>
        <v>5000.0034999999998</v>
      </c>
      <c r="O53" s="389">
        <v>2.5</v>
      </c>
      <c r="P53" s="392">
        <f t="shared" si="4"/>
        <v>0.88957844095478944</v>
      </c>
      <c r="Q53" s="389" t="str">
        <f t="shared" si="3"/>
        <v>M-001</v>
      </c>
      <c r="R53" s="250" t="s">
        <v>298</v>
      </c>
      <c r="AS53" s="205"/>
    </row>
    <row r="54" spans="2:48" ht="30" customHeight="1" thickBot="1" x14ac:dyDescent="0.25">
      <c r="B54" s="874"/>
      <c r="C54" s="420" t="s">
        <v>202</v>
      </c>
      <c r="D54" s="393" t="s">
        <v>169</v>
      </c>
      <c r="E54" s="393" t="s">
        <v>152</v>
      </c>
      <c r="F54" s="393">
        <v>27129360</v>
      </c>
      <c r="G54" s="393" t="s">
        <v>203</v>
      </c>
      <c r="H54" s="394" t="s">
        <v>389</v>
      </c>
      <c r="I54" s="395">
        <v>43228</v>
      </c>
      <c r="J54" s="393">
        <v>10000</v>
      </c>
      <c r="K54" s="423"/>
      <c r="L54" s="424"/>
      <c r="M54" s="393">
        <v>8.1999999999999993</v>
      </c>
      <c r="N54" s="396">
        <f t="shared" si="2"/>
        <v>10000.0082</v>
      </c>
      <c r="O54" s="405">
        <v>5</v>
      </c>
      <c r="P54" s="483">
        <f t="shared" si="4"/>
        <v>0.88957844095478944</v>
      </c>
      <c r="Q54" s="393" t="str">
        <f t="shared" si="3"/>
        <v>M-001</v>
      </c>
      <c r="R54" s="255" t="s">
        <v>298</v>
      </c>
      <c r="AS54" s="205"/>
    </row>
    <row r="55" spans="2:48" ht="30" customHeight="1" x14ac:dyDescent="0.2">
      <c r="B55" s="870" t="s">
        <v>419</v>
      </c>
      <c r="C55" s="267" t="s">
        <v>204</v>
      </c>
      <c r="D55" s="268" t="s">
        <v>205</v>
      </c>
      <c r="E55" s="268" t="s">
        <v>303</v>
      </c>
      <c r="F55" s="268">
        <v>11119515</v>
      </c>
      <c r="G55" s="268">
        <v>1</v>
      </c>
      <c r="H55" s="481" t="s">
        <v>435</v>
      </c>
      <c r="I55" s="482">
        <v>43252</v>
      </c>
      <c r="J55" s="268">
        <v>1</v>
      </c>
      <c r="K55" s="270"/>
      <c r="L55" s="271"/>
      <c r="M55" s="481">
        <v>0.04</v>
      </c>
      <c r="N55" s="272">
        <f t="shared" si="2"/>
        <v>1.00004</v>
      </c>
      <c r="O55" s="268">
        <v>0.03</v>
      </c>
      <c r="P55" s="387">
        <f>(0.34848*((750.7+754.5)/2)-0.009024*((52.2+58.7)/2)*EXP(0.0612*((20+20.6)/2)))/(273.15+((20+20.6)/2))</f>
        <v>0.88782702273489045</v>
      </c>
      <c r="Q55" s="268" t="s">
        <v>206</v>
      </c>
      <c r="R55" s="239" t="s">
        <v>298</v>
      </c>
      <c r="AS55" s="205"/>
      <c r="AT55" s="197"/>
      <c r="AU55" s="197"/>
    </row>
    <row r="56" spans="2:48" ht="30" customHeight="1" x14ac:dyDescent="0.2">
      <c r="B56" s="870"/>
      <c r="C56" s="233" t="s">
        <v>207</v>
      </c>
      <c r="D56" s="234" t="s">
        <v>205</v>
      </c>
      <c r="E56" s="234" t="s">
        <v>303</v>
      </c>
      <c r="F56" s="234">
        <v>11119515</v>
      </c>
      <c r="G56" s="234" t="s">
        <v>209</v>
      </c>
      <c r="H56" s="389" t="s">
        <v>435</v>
      </c>
      <c r="I56" s="412">
        <v>43252</v>
      </c>
      <c r="J56" s="234">
        <v>2</v>
      </c>
      <c r="K56" s="263"/>
      <c r="L56" s="262"/>
      <c r="M56" s="389">
        <v>0.04</v>
      </c>
      <c r="N56" s="236">
        <f t="shared" si="2"/>
        <v>2.0000399999999998</v>
      </c>
      <c r="O56" s="234">
        <v>0.04</v>
      </c>
      <c r="P56" s="392">
        <f>(0.34848*((750.7+754.5)/2)-0.009024*((52.2+58.7)/2)*EXP(0.0612*((20+20.6)/2)))/(273.15+((20+20.6)/2))</f>
        <v>0.88782702273489045</v>
      </c>
      <c r="Q56" s="234" t="str">
        <f t="shared" ref="Q56:Q70" si="5">Q55</f>
        <v>M-002</v>
      </c>
      <c r="R56" s="239" t="s">
        <v>298</v>
      </c>
      <c r="AS56" s="205"/>
      <c r="AT56" s="197"/>
      <c r="AU56" s="197"/>
    </row>
    <row r="57" spans="2:48" ht="30" customHeight="1" x14ac:dyDescent="0.2">
      <c r="B57" s="870"/>
      <c r="C57" s="233" t="s">
        <v>208</v>
      </c>
      <c r="D57" s="234" t="s">
        <v>205</v>
      </c>
      <c r="E57" s="234" t="s">
        <v>303</v>
      </c>
      <c r="F57" s="234">
        <v>11119515</v>
      </c>
      <c r="G57" s="234">
        <v>2</v>
      </c>
      <c r="H57" s="389" t="s">
        <v>435</v>
      </c>
      <c r="I57" s="412">
        <v>43252</v>
      </c>
      <c r="J57" s="234">
        <v>2</v>
      </c>
      <c r="K57" s="263"/>
      <c r="L57" s="262"/>
      <c r="M57" s="389">
        <v>0.06</v>
      </c>
      <c r="N57" s="236">
        <f t="shared" si="2"/>
        <v>2.0000599999999999</v>
      </c>
      <c r="O57" s="234">
        <v>0.04</v>
      </c>
      <c r="P57" s="392">
        <f t="shared" ref="P57:P70" si="6">(0.34848*((750.7+754.5)/2)-0.009024*((52.2+58.7)/2)*EXP(0.0612*((20+20.6)/2)))/(273.15+((20+20.6)/2))</f>
        <v>0.88782702273489045</v>
      </c>
      <c r="Q57" s="234" t="str">
        <f t="shared" si="5"/>
        <v>M-002</v>
      </c>
      <c r="R57" s="239" t="s">
        <v>298</v>
      </c>
      <c r="AS57" s="205"/>
      <c r="AT57" s="197"/>
      <c r="AU57" s="197"/>
    </row>
    <row r="58" spans="2:48" ht="30" customHeight="1" x14ac:dyDescent="0.2">
      <c r="B58" s="870"/>
      <c r="C58" s="233" t="s">
        <v>210</v>
      </c>
      <c r="D58" s="234" t="s">
        <v>205</v>
      </c>
      <c r="E58" s="234" t="s">
        <v>303</v>
      </c>
      <c r="F58" s="234">
        <v>11119515</v>
      </c>
      <c r="G58" s="234">
        <v>5</v>
      </c>
      <c r="H58" s="389" t="s">
        <v>435</v>
      </c>
      <c r="I58" s="412">
        <v>43252</v>
      </c>
      <c r="J58" s="234">
        <v>5</v>
      </c>
      <c r="K58" s="263"/>
      <c r="L58" s="262"/>
      <c r="M58" s="404">
        <v>0.01</v>
      </c>
      <c r="N58" s="236">
        <f t="shared" si="2"/>
        <v>5.0000099999999996</v>
      </c>
      <c r="O58" s="234">
        <v>0.05</v>
      </c>
      <c r="P58" s="392">
        <f t="shared" si="6"/>
        <v>0.88782702273489045</v>
      </c>
      <c r="Q58" s="234" t="str">
        <f t="shared" si="5"/>
        <v>M-002</v>
      </c>
      <c r="R58" s="239" t="s">
        <v>298</v>
      </c>
      <c r="AS58" s="205"/>
      <c r="AT58" s="197"/>
      <c r="AU58" s="197"/>
    </row>
    <row r="59" spans="2:48" ht="30" customHeight="1" x14ac:dyDescent="0.2">
      <c r="B59" s="870"/>
      <c r="C59" s="233" t="s">
        <v>212</v>
      </c>
      <c r="D59" s="234" t="s">
        <v>205</v>
      </c>
      <c r="E59" s="234" t="s">
        <v>303</v>
      </c>
      <c r="F59" s="234">
        <v>11119515</v>
      </c>
      <c r="G59" s="234">
        <v>10</v>
      </c>
      <c r="H59" s="389" t="s">
        <v>435</v>
      </c>
      <c r="I59" s="412">
        <v>43252</v>
      </c>
      <c r="J59" s="234">
        <v>10</v>
      </c>
      <c r="K59" s="263"/>
      <c r="L59" s="262"/>
      <c r="M59" s="389">
        <v>7.0000000000000007E-2</v>
      </c>
      <c r="N59" s="236">
        <f t="shared" si="2"/>
        <v>10.000069999999999</v>
      </c>
      <c r="O59" s="234">
        <v>0.06</v>
      </c>
      <c r="P59" s="392">
        <f t="shared" si="6"/>
        <v>0.88782702273489045</v>
      </c>
      <c r="Q59" s="234" t="str">
        <f t="shared" si="5"/>
        <v>M-002</v>
      </c>
      <c r="R59" s="239" t="s">
        <v>298</v>
      </c>
      <c r="AS59" s="205"/>
      <c r="AT59" s="197"/>
      <c r="AU59" s="197"/>
    </row>
    <row r="60" spans="2:48" ht="30" customHeight="1" x14ac:dyDescent="0.2">
      <c r="B60" s="870"/>
      <c r="C60" s="233" t="s">
        <v>214</v>
      </c>
      <c r="D60" s="234" t="s">
        <v>205</v>
      </c>
      <c r="E60" s="234" t="s">
        <v>303</v>
      </c>
      <c r="F60" s="234">
        <v>11119515</v>
      </c>
      <c r="G60" s="234" t="s">
        <v>216</v>
      </c>
      <c r="H60" s="389" t="s">
        <v>435</v>
      </c>
      <c r="I60" s="412">
        <v>43252</v>
      </c>
      <c r="J60" s="234">
        <v>20</v>
      </c>
      <c r="K60" s="263"/>
      <c r="L60" s="262"/>
      <c r="M60" s="389">
        <v>0.08</v>
      </c>
      <c r="N60" s="236">
        <f t="shared" si="2"/>
        <v>20.000080000000001</v>
      </c>
      <c r="O60" s="234">
        <v>0.08</v>
      </c>
      <c r="P60" s="392">
        <f t="shared" si="6"/>
        <v>0.88782702273489045</v>
      </c>
      <c r="Q60" s="234" t="str">
        <f t="shared" si="5"/>
        <v>M-002</v>
      </c>
      <c r="R60" s="239" t="s">
        <v>298</v>
      </c>
      <c r="AS60" s="205"/>
      <c r="AT60" s="197"/>
      <c r="AU60" s="197"/>
    </row>
    <row r="61" spans="2:48" ht="30" customHeight="1" x14ac:dyDescent="0.2">
      <c r="B61" s="870"/>
      <c r="C61" s="233" t="s">
        <v>215</v>
      </c>
      <c r="D61" s="234" t="s">
        <v>205</v>
      </c>
      <c r="E61" s="234" t="s">
        <v>303</v>
      </c>
      <c r="F61" s="234">
        <v>11119515</v>
      </c>
      <c r="G61" s="234">
        <v>20</v>
      </c>
      <c r="H61" s="389" t="s">
        <v>435</v>
      </c>
      <c r="I61" s="412">
        <v>43252</v>
      </c>
      <c r="J61" s="234">
        <v>20</v>
      </c>
      <c r="K61" s="263"/>
      <c r="L61" s="262"/>
      <c r="M61" s="389">
        <v>7.0000000000000007E-2</v>
      </c>
      <c r="N61" s="236">
        <f t="shared" si="2"/>
        <v>20.000070000000001</v>
      </c>
      <c r="O61" s="234">
        <v>0.08</v>
      </c>
      <c r="P61" s="392">
        <f t="shared" si="6"/>
        <v>0.88782702273489045</v>
      </c>
      <c r="Q61" s="234" t="str">
        <f t="shared" si="5"/>
        <v>M-002</v>
      </c>
      <c r="R61" s="239" t="s">
        <v>298</v>
      </c>
      <c r="AS61" s="205"/>
      <c r="AT61" s="197"/>
      <c r="AU61" s="197"/>
    </row>
    <row r="62" spans="2:48" ht="30" customHeight="1" x14ac:dyDescent="0.2">
      <c r="B62" s="870"/>
      <c r="C62" s="233" t="s">
        <v>217</v>
      </c>
      <c r="D62" s="234" t="s">
        <v>205</v>
      </c>
      <c r="E62" s="234" t="s">
        <v>303</v>
      </c>
      <c r="F62" s="234">
        <v>11119515</v>
      </c>
      <c r="G62" s="234">
        <v>50</v>
      </c>
      <c r="H62" s="389" t="s">
        <v>435</v>
      </c>
      <c r="I62" s="412">
        <v>43252</v>
      </c>
      <c r="J62" s="234">
        <v>50</v>
      </c>
      <c r="K62" s="263"/>
      <c r="L62" s="262"/>
      <c r="M62" s="389">
        <v>0.13</v>
      </c>
      <c r="N62" s="236">
        <f t="shared" si="2"/>
        <v>50.000129999999999</v>
      </c>
      <c r="O62" s="237">
        <v>0.1</v>
      </c>
      <c r="P62" s="392">
        <f t="shared" si="6"/>
        <v>0.88782702273489045</v>
      </c>
      <c r="Q62" s="234" t="str">
        <f t="shared" si="5"/>
        <v>M-002</v>
      </c>
      <c r="R62" s="239" t="s">
        <v>298</v>
      </c>
      <c r="AS62" s="205"/>
      <c r="AT62" s="197"/>
      <c r="AU62" s="197"/>
    </row>
    <row r="63" spans="2:48" ht="30" customHeight="1" x14ac:dyDescent="0.2">
      <c r="B63" s="870"/>
      <c r="C63" s="233" t="s">
        <v>218</v>
      </c>
      <c r="D63" s="234" t="s">
        <v>205</v>
      </c>
      <c r="E63" s="234" t="s">
        <v>303</v>
      </c>
      <c r="F63" s="234">
        <v>11119515</v>
      </c>
      <c r="G63" s="234">
        <v>100</v>
      </c>
      <c r="H63" s="389" t="s">
        <v>435</v>
      </c>
      <c r="I63" s="412">
        <v>43252</v>
      </c>
      <c r="J63" s="234">
        <v>100</v>
      </c>
      <c r="K63" s="263"/>
      <c r="L63" s="262"/>
      <c r="M63" s="389">
        <v>0.14000000000000001</v>
      </c>
      <c r="N63" s="236">
        <f t="shared" si="2"/>
        <v>100.00014</v>
      </c>
      <c r="O63" s="234">
        <v>0.16</v>
      </c>
      <c r="P63" s="392">
        <f t="shared" si="6"/>
        <v>0.88782702273489045</v>
      </c>
      <c r="Q63" s="234" t="str">
        <f t="shared" si="5"/>
        <v>M-002</v>
      </c>
      <c r="R63" s="239" t="s">
        <v>298</v>
      </c>
      <c r="AT63" s="205"/>
      <c r="AU63" s="197"/>
      <c r="AV63" s="197"/>
    </row>
    <row r="64" spans="2:48" ht="30" customHeight="1" x14ac:dyDescent="0.2">
      <c r="B64" s="870"/>
      <c r="C64" s="233" t="s">
        <v>220</v>
      </c>
      <c r="D64" s="234" t="s">
        <v>205</v>
      </c>
      <c r="E64" s="234" t="s">
        <v>303</v>
      </c>
      <c r="F64" s="234">
        <v>11119515</v>
      </c>
      <c r="G64" s="234" t="s">
        <v>222</v>
      </c>
      <c r="H64" s="389" t="s">
        <v>435</v>
      </c>
      <c r="I64" s="412">
        <v>43252</v>
      </c>
      <c r="J64" s="234">
        <v>200</v>
      </c>
      <c r="K64" s="263"/>
      <c r="L64" s="262"/>
      <c r="M64" s="389">
        <v>0.3</v>
      </c>
      <c r="N64" s="240">
        <f t="shared" si="2"/>
        <v>200.00030000000001</v>
      </c>
      <c r="O64" s="234">
        <v>0.3</v>
      </c>
      <c r="P64" s="392">
        <f t="shared" si="6"/>
        <v>0.88782702273489045</v>
      </c>
      <c r="Q64" s="234" t="str">
        <f t="shared" si="5"/>
        <v>M-002</v>
      </c>
      <c r="R64" s="239" t="s">
        <v>298</v>
      </c>
      <c r="AT64" s="205"/>
      <c r="AU64" s="197"/>
      <c r="AV64" s="197"/>
    </row>
    <row r="65" spans="2:50" ht="30" customHeight="1" x14ac:dyDescent="0.2">
      <c r="B65" s="870"/>
      <c r="C65" s="233" t="s">
        <v>221</v>
      </c>
      <c r="D65" s="234" t="s">
        <v>205</v>
      </c>
      <c r="E65" s="234" t="s">
        <v>303</v>
      </c>
      <c r="F65" s="234">
        <v>11119515</v>
      </c>
      <c r="G65" s="234">
        <v>200</v>
      </c>
      <c r="H65" s="389" t="s">
        <v>435</v>
      </c>
      <c r="I65" s="412">
        <v>43252</v>
      </c>
      <c r="J65" s="234">
        <v>200</v>
      </c>
      <c r="K65" s="263"/>
      <c r="L65" s="262"/>
      <c r="M65" s="389">
        <v>0.2</v>
      </c>
      <c r="N65" s="240">
        <f t="shared" si="2"/>
        <v>200.00020000000001</v>
      </c>
      <c r="O65" s="234">
        <v>0.3</v>
      </c>
      <c r="P65" s="392">
        <f t="shared" si="6"/>
        <v>0.88782702273489045</v>
      </c>
      <c r="Q65" s="234" t="str">
        <f t="shared" si="5"/>
        <v>M-002</v>
      </c>
      <c r="R65" s="239" t="s">
        <v>298</v>
      </c>
      <c r="AT65" s="205"/>
      <c r="AU65" s="197"/>
      <c r="AV65" s="197"/>
    </row>
    <row r="66" spans="2:50" ht="30" customHeight="1" x14ac:dyDescent="0.2">
      <c r="B66" s="870"/>
      <c r="C66" s="233" t="s">
        <v>223</v>
      </c>
      <c r="D66" s="234" t="s">
        <v>205</v>
      </c>
      <c r="E66" s="234" t="s">
        <v>303</v>
      </c>
      <c r="F66" s="234">
        <v>11119515</v>
      </c>
      <c r="G66" s="234">
        <v>500</v>
      </c>
      <c r="H66" s="389" t="s">
        <v>435</v>
      </c>
      <c r="I66" s="412">
        <v>43252</v>
      </c>
      <c r="J66" s="234">
        <v>500</v>
      </c>
      <c r="K66" s="263"/>
      <c r="L66" s="262"/>
      <c r="M66" s="389">
        <v>0.8</v>
      </c>
      <c r="N66" s="240">
        <f t="shared" si="2"/>
        <v>500.00080000000003</v>
      </c>
      <c r="O66" s="234">
        <v>0.8</v>
      </c>
      <c r="P66" s="392">
        <f t="shared" si="6"/>
        <v>0.88782702273489045</v>
      </c>
      <c r="Q66" s="234" t="str">
        <f t="shared" si="5"/>
        <v>M-002</v>
      </c>
      <c r="R66" s="239" t="s">
        <v>298</v>
      </c>
      <c r="AI66" s="274"/>
      <c r="AJ66" s="274"/>
      <c r="AK66" s="274"/>
      <c r="AQ66" s="275"/>
      <c r="AR66" s="275"/>
      <c r="AS66" s="205"/>
      <c r="AT66" s="205"/>
      <c r="AU66" s="197"/>
      <c r="AV66" s="197"/>
    </row>
    <row r="67" spans="2:50" ht="30" customHeight="1" x14ac:dyDescent="0.2">
      <c r="B67" s="870"/>
      <c r="C67" s="233" t="s">
        <v>224</v>
      </c>
      <c r="D67" s="234" t="s">
        <v>205</v>
      </c>
      <c r="E67" s="234" t="s">
        <v>303</v>
      </c>
      <c r="F67" s="234">
        <v>11119515</v>
      </c>
      <c r="G67" s="234">
        <v>1</v>
      </c>
      <c r="H67" s="389" t="s">
        <v>435</v>
      </c>
      <c r="I67" s="412">
        <v>43252</v>
      </c>
      <c r="J67" s="234">
        <v>1000</v>
      </c>
      <c r="K67" s="263"/>
      <c r="L67" s="263"/>
      <c r="M67" s="389">
        <v>1.9</v>
      </c>
      <c r="N67" s="240">
        <f t="shared" si="2"/>
        <v>1000.0019</v>
      </c>
      <c r="O67" s="234">
        <v>1.6</v>
      </c>
      <c r="P67" s="392">
        <f t="shared" si="6"/>
        <v>0.88782702273489045</v>
      </c>
      <c r="Q67" s="234" t="str">
        <f t="shared" si="5"/>
        <v>M-002</v>
      </c>
      <c r="R67" s="239" t="s">
        <v>298</v>
      </c>
      <c r="AI67" s="276"/>
      <c r="AJ67" s="276"/>
      <c r="AK67" s="276"/>
      <c r="AQ67" s="276"/>
      <c r="AR67" s="276"/>
      <c r="AS67" s="276"/>
      <c r="AT67" s="276"/>
      <c r="AU67" s="276"/>
      <c r="AV67" s="276"/>
      <c r="AW67" s="276"/>
      <c r="AX67" s="276"/>
    </row>
    <row r="68" spans="2:50" ht="30" customHeight="1" x14ac:dyDescent="0.2">
      <c r="B68" s="870"/>
      <c r="C68" s="233" t="s">
        <v>225</v>
      </c>
      <c r="D68" s="234" t="s">
        <v>205</v>
      </c>
      <c r="E68" s="234" t="s">
        <v>303</v>
      </c>
      <c r="F68" s="234">
        <v>11119515</v>
      </c>
      <c r="G68" s="234" t="s">
        <v>209</v>
      </c>
      <c r="H68" s="389" t="s">
        <v>435</v>
      </c>
      <c r="I68" s="412">
        <v>43252</v>
      </c>
      <c r="J68" s="234">
        <v>2000</v>
      </c>
      <c r="K68" s="263"/>
      <c r="L68" s="263"/>
      <c r="M68" s="391">
        <v>1.9</v>
      </c>
      <c r="N68" s="240">
        <f t="shared" si="2"/>
        <v>2000.0019</v>
      </c>
      <c r="O68" s="241">
        <v>3</v>
      </c>
      <c r="P68" s="392">
        <f t="shared" si="6"/>
        <v>0.88782702273489045</v>
      </c>
      <c r="Q68" s="234" t="str">
        <f t="shared" si="5"/>
        <v>M-002</v>
      </c>
      <c r="R68" s="239" t="s">
        <v>298</v>
      </c>
      <c r="AE68" s="276"/>
      <c r="AF68" s="276"/>
      <c r="AG68" s="276"/>
      <c r="AH68" s="276"/>
      <c r="AI68" s="276"/>
      <c r="AJ68" s="276"/>
      <c r="AK68" s="276"/>
      <c r="AQ68" s="276"/>
      <c r="AR68" s="276"/>
      <c r="AS68" s="276"/>
      <c r="AT68" s="276"/>
      <c r="AU68" s="276"/>
      <c r="AV68" s="276"/>
      <c r="AW68" s="276"/>
      <c r="AX68" s="276"/>
    </row>
    <row r="69" spans="2:50" ht="30" customHeight="1" x14ac:dyDescent="0.2">
      <c r="B69" s="870"/>
      <c r="C69" s="233" t="s">
        <v>226</v>
      </c>
      <c r="D69" s="234" t="s">
        <v>205</v>
      </c>
      <c r="E69" s="234" t="s">
        <v>303</v>
      </c>
      <c r="F69" s="234">
        <v>11119515</v>
      </c>
      <c r="G69" s="234">
        <v>2</v>
      </c>
      <c r="H69" s="389" t="s">
        <v>435</v>
      </c>
      <c r="I69" s="412">
        <v>43252</v>
      </c>
      <c r="J69" s="234">
        <v>2000</v>
      </c>
      <c r="K69" s="263"/>
      <c r="L69" s="263"/>
      <c r="M69" s="391">
        <v>2.1</v>
      </c>
      <c r="N69" s="240">
        <f t="shared" si="2"/>
        <v>2000.0020999999999</v>
      </c>
      <c r="O69" s="241">
        <v>3</v>
      </c>
      <c r="P69" s="392">
        <f t="shared" si="6"/>
        <v>0.88782702273489045</v>
      </c>
      <c r="Q69" s="234" t="str">
        <f t="shared" si="5"/>
        <v>M-002</v>
      </c>
      <c r="R69" s="239" t="s">
        <v>298</v>
      </c>
      <c r="S69" s="196"/>
      <c r="T69" s="196"/>
      <c r="U69" s="196"/>
      <c r="V69" s="196"/>
      <c r="W69" s="196"/>
      <c r="X69" s="19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Q69" s="276"/>
      <c r="AR69" s="276"/>
      <c r="AS69" s="276"/>
      <c r="AT69" s="276"/>
      <c r="AU69" s="276"/>
      <c r="AV69" s="276"/>
      <c r="AW69" s="276"/>
      <c r="AX69" s="276"/>
    </row>
    <row r="70" spans="2:50" ht="30" customHeight="1" thickBot="1" x14ac:dyDescent="0.25">
      <c r="B70" s="871"/>
      <c r="C70" s="242" t="s">
        <v>227</v>
      </c>
      <c r="D70" s="243" t="s">
        <v>205</v>
      </c>
      <c r="E70" s="243" t="s">
        <v>303</v>
      </c>
      <c r="F70" s="243">
        <v>11119515</v>
      </c>
      <c r="G70" s="243">
        <v>5</v>
      </c>
      <c r="H70" s="408" t="s">
        <v>435</v>
      </c>
      <c r="I70" s="409">
        <v>43252</v>
      </c>
      <c r="J70" s="243">
        <v>5000</v>
      </c>
      <c r="K70" s="277"/>
      <c r="L70" s="277"/>
      <c r="M70" s="408">
        <v>5.8</v>
      </c>
      <c r="N70" s="278">
        <f t="shared" si="2"/>
        <v>5000.0057999999999</v>
      </c>
      <c r="O70" s="279">
        <v>8</v>
      </c>
      <c r="P70" s="396">
        <f t="shared" si="6"/>
        <v>0.88782702273489045</v>
      </c>
      <c r="Q70" s="243" t="str">
        <f t="shared" si="5"/>
        <v>M-002</v>
      </c>
      <c r="R70" s="247" t="s">
        <v>298</v>
      </c>
      <c r="S70" s="196"/>
      <c r="T70" s="196"/>
      <c r="U70" s="196"/>
      <c r="V70" s="196"/>
      <c r="W70" s="196"/>
      <c r="X70" s="19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Q70" s="276"/>
      <c r="AR70" s="276"/>
      <c r="AS70" s="276"/>
      <c r="AT70" s="276"/>
      <c r="AU70" s="276"/>
      <c r="AV70" s="276"/>
      <c r="AW70" s="276"/>
      <c r="AX70" s="276"/>
    </row>
    <row r="71" spans="2:50" ht="30" customHeight="1" thickBot="1" x14ac:dyDescent="0.25">
      <c r="B71" s="406" t="s">
        <v>420</v>
      </c>
      <c r="C71" s="418" t="s">
        <v>228</v>
      </c>
      <c r="D71" s="383" t="s">
        <v>205</v>
      </c>
      <c r="E71" s="383" t="s">
        <v>303</v>
      </c>
      <c r="F71" s="383">
        <v>11119467</v>
      </c>
      <c r="G71" s="383">
        <v>10</v>
      </c>
      <c r="H71" s="383" t="s">
        <v>390</v>
      </c>
      <c r="I71" s="384">
        <v>43234</v>
      </c>
      <c r="J71" s="383">
        <v>10000</v>
      </c>
      <c r="K71" s="281"/>
      <c r="L71" s="281"/>
      <c r="M71" s="383">
        <v>7</v>
      </c>
      <c r="N71" s="403">
        <f t="shared" si="2"/>
        <v>10000.007</v>
      </c>
      <c r="O71" s="383">
        <v>16</v>
      </c>
      <c r="P71" s="484">
        <f>(0.34848*((752.6+754.6)/2)-0.009024*((54.2+56.2)/2)*EXP(0.0612*((20+20.2)/2)))/(273.15+((20+20.2)/2))</f>
        <v>0.88971909362420276</v>
      </c>
      <c r="Q71" s="383" t="s">
        <v>229</v>
      </c>
      <c r="R71" s="388" t="s">
        <v>298</v>
      </c>
      <c r="S71" s="196"/>
      <c r="T71" s="196"/>
      <c r="U71" s="196"/>
      <c r="V71" s="196"/>
      <c r="W71" s="196"/>
      <c r="X71" s="19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Q71" s="276"/>
      <c r="AR71" s="276"/>
      <c r="AS71" s="276"/>
      <c r="AT71" s="276"/>
      <c r="AU71" s="276"/>
      <c r="AV71" s="276"/>
      <c r="AW71" s="276"/>
      <c r="AX71" s="276"/>
    </row>
    <row r="72" spans="2:50" ht="30" customHeight="1" thickBot="1" x14ac:dyDescent="0.25">
      <c r="B72" s="407" t="s">
        <v>420</v>
      </c>
      <c r="C72" s="414" t="s">
        <v>230</v>
      </c>
      <c r="D72" s="408" t="s">
        <v>205</v>
      </c>
      <c r="E72" s="408" t="s">
        <v>303</v>
      </c>
      <c r="F72" s="408">
        <v>11119468</v>
      </c>
      <c r="G72" s="408">
        <v>20</v>
      </c>
      <c r="H72" s="408" t="s">
        <v>391</v>
      </c>
      <c r="I72" s="409">
        <v>43230</v>
      </c>
      <c r="J72" s="408">
        <v>20000</v>
      </c>
      <c r="K72" s="277"/>
      <c r="L72" s="277"/>
      <c r="M72" s="408">
        <v>0</v>
      </c>
      <c r="N72" s="411">
        <f t="shared" si="2"/>
        <v>20000</v>
      </c>
      <c r="O72" s="408">
        <v>30</v>
      </c>
      <c r="P72" s="410">
        <f>(0.34848*((753.6+753.8)/2)-0.009024*((49.3+49.6)/2)*EXP(0.0612*((21.3+21.4)/2)))/(273.15+((21.3+21.4)/2))</f>
        <v>0.88625169920254576</v>
      </c>
      <c r="Q72" s="408" t="s">
        <v>231</v>
      </c>
      <c r="R72" s="425" t="s">
        <v>298</v>
      </c>
      <c r="S72" s="196"/>
      <c r="T72" s="196"/>
      <c r="U72" s="196"/>
      <c r="V72" s="196"/>
      <c r="W72" s="196"/>
      <c r="X72" s="19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Q72" s="276"/>
      <c r="AR72" s="276"/>
      <c r="AS72" s="276"/>
      <c r="AT72" s="276"/>
      <c r="AU72" s="276"/>
      <c r="AV72" s="276"/>
      <c r="AW72" s="276"/>
      <c r="AX72" s="276"/>
    </row>
    <row r="73" spans="2:50" ht="30" customHeight="1" x14ac:dyDescent="0.2">
      <c r="B73" s="867" t="s">
        <v>421</v>
      </c>
      <c r="C73" s="415" t="s">
        <v>232</v>
      </c>
      <c r="D73" s="383" t="s">
        <v>205</v>
      </c>
      <c r="E73" s="383" t="s">
        <v>233</v>
      </c>
      <c r="F73" s="383" t="s">
        <v>304</v>
      </c>
      <c r="G73" s="383" t="s">
        <v>235</v>
      </c>
      <c r="H73" s="383" t="s">
        <v>392</v>
      </c>
      <c r="I73" s="384">
        <v>43228</v>
      </c>
      <c r="J73" s="227">
        <v>1</v>
      </c>
      <c r="K73" s="281"/>
      <c r="L73" s="281"/>
      <c r="M73" s="385">
        <v>0.04</v>
      </c>
      <c r="N73" s="371">
        <f t="shared" si="2"/>
        <v>1.00004</v>
      </c>
      <c r="O73" s="385">
        <v>3.3000000000000002E-2</v>
      </c>
      <c r="P73" s="387">
        <f>(0.34848*((751.2+755.7)/2)-0.009024*((48.4+57.9)/2)*EXP(0.0612*((19.5+20.7)/2)))/(273.15+((19.5+20.7)/2))</f>
        <v>0.88975669159417592</v>
      </c>
      <c r="Q73" s="383" t="s">
        <v>237</v>
      </c>
      <c r="R73" s="388" t="s">
        <v>298</v>
      </c>
      <c r="S73" s="196"/>
      <c r="T73" s="196"/>
      <c r="U73" s="196"/>
      <c r="V73" s="196"/>
      <c r="W73" s="196"/>
      <c r="X73" s="19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</row>
    <row r="74" spans="2:50" ht="30" customHeight="1" x14ac:dyDescent="0.2">
      <c r="B74" s="868"/>
      <c r="C74" s="416" t="s">
        <v>238</v>
      </c>
      <c r="D74" s="389" t="s">
        <v>205</v>
      </c>
      <c r="E74" s="389" t="s">
        <v>233</v>
      </c>
      <c r="F74" s="389" t="s">
        <v>304</v>
      </c>
      <c r="G74" s="389" t="s">
        <v>235</v>
      </c>
      <c r="H74" s="389" t="s">
        <v>392</v>
      </c>
      <c r="I74" s="412">
        <v>43228</v>
      </c>
      <c r="J74" s="234">
        <v>2</v>
      </c>
      <c r="K74" s="263"/>
      <c r="L74" s="263"/>
      <c r="M74" s="404">
        <v>0.04</v>
      </c>
      <c r="N74" s="236">
        <f t="shared" si="2"/>
        <v>2.0000399999999998</v>
      </c>
      <c r="O74" s="404">
        <v>0.04</v>
      </c>
      <c r="P74" s="392">
        <f t="shared" ref="P74:P88" si="7">(0.34848*((751.2+755.7)/2)-0.009024*((48.4+57.9)/2)*EXP(0.0612*((19.5+20.7)/2)))/(273.15+((19.5+20.7)/2))</f>
        <v>0.88975669159417592</v>
      </c>
      <c r="Q74" s="389" t="str">
        <f>Q73</f>
        <v>M-016</v>
      </c>
      <c r="R74" s="426" t="s">
        <v>298</v>
      </c>
      <c r="S74" s="196"/>
      <c r="T74" s="196"/>
      <c r="U74" s="196"/>
      <c r="V74" s="196"/>
      <c r="W74" s="196"/>
      <c r="X74" s="19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</row>
    <row r="75" spans="2:50" ht="30" customHeight="1" x14ac:dyDescent="0.2">
      <c r="B75" s="868"/>
      <c r="C75" s="416" t="s">
        <v>239</v>
      </c>
      <c r="D75" s="389" t="s">
        <v>205</v>
      </c>
      <c r="E75" s="389" t="s">
        <v>233</v>
      </c>
      <c r="F75" s="389" t="s">
        <v>304</v>
      </c>
      <c r="G75" s="389" t="s">
        <v>240</v>
      </c>
      <c r="H75" s="389" t="s">
        <v>392</v>
      </c>
      <c r="I75" s="412">
        <v>43228</v>
      </c>
      <c r="J75" s="234">
        <v>2</v>
      </c>
      <c r="K75" s="263"/>
      <c r="L75" s="263"/>
      <c r="M75" s="389">
        <v>0.05</v>
      </c>
      <c r="N75" s="260">
        <f t="shared" si="2"/>
        <v>2.0000499999999999</v>
      </c>
      <c r="O75" s="404">
        <v>0.04</v>
      </c>
      <c r="P75" s="392">
        <f t="shared" si="7"/>
        <v>0.88975669159417592</v>
      </c>
      <c r="Q75" s="389" t="str">
        <f t="shared" ref="Q75:Q88" si="8">Q74</f>
        <v>M-016</v>
      </c>
      <c r="R75" s="426" t="s">
        <v>298</v>
      </c>
      <c r="U75" s="196"/>
      <c r="V75" s="196"/>
      <c r="W75" s="196"/>
      <c r="X75" s="19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</row>
    <row r="76" spans="2:50" ht="30" customHeight="1" x14ac:dyDescent="0.2">
      <c r="B76" s="868"/>
      <c r="C76" s="416" t="s">
        <v>241</v>
      </c>
      <c r="D76" s="389" t="s">
        <v>205</v>
      </c>
      <c r="E76" s="389" t="s">
        <v>233</v>
      </c>
      <c r="F76" s="389" t="s">
        <v>304</v>
      </c>
      <c r="G76" s="389" t="s">
        <v>235</v>
      </c>
      <c r="H76" s="389" t="s">
        <v>392</v>
      </c>
      <c r="I76" s="412">
        <v>43228</v>
      </c>
      <c r="J76" s="234">
        <v>5</v>
      </c>
      <c r="K76" s="263"/>
      <c r="L76" s="263"/>
      <c r="M76" s="389">
        <v>7.0000000000000007E-2</v>
      </c>
      <c r="N76" s="260">
        <f t="shared" si="2"/>
        <v>5.00007</v>
      </c>
      <c r="O76" s="404">
        <v>5.2999999999999999E-2</v>
      </c>
      <c r="P76" s="392">
        <f t="shared" si="7"/>
        <v>0.88975669159417592</v>
      </c>
      <c r="Q76" s="389" t="str">
        <f t="shared" si="8"/>
        <v>M-016</v>
      </c>
      <c r="R76" s="426" t="s">
        <v>298</v>
      </c>
      <c r="U76" s="196"/>
      <c r="V76" s="196"/>
      <c r="W76" s="196"/>
      <c r="X76" s="19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</row>
    <row r="77" spans="2:50" ht="30" customHeight="1" x14ac:dyDescent="0.2">
      <c r="B77" s="868"/>
      <c r="C77" s="416" t="s">
        <v>242</v>
      </c>
      <c r="D77" s="389" t="s">
        <v>205</v>
      </c>
      <c r="E77" s="389" t="s">
        <v>233</v>
      </c>
      <c r="F77" s="389" t="s">
        <v>304</v>
      </c>
      <c r="G77" s="389" t="s">
        <v>235</v>
      </c>
      <c r="H77" s="389" t="s">
        <v>392</v>
      </c>
      <c r="I77" s="412">
        <v>43228</v>
      </c>
      <c r="J77" s="234">
        <v>10</v>
      </c>
      <c r="K77" s="263"/>
      <c r="L77" s="263"/>
      <c r="M77" s="389">
        <v>0.09</v>
      </c>
      <c r="N77" s="260">
        <f t="shared" si="2"/>
        <v>10.00009</v>
      </c>
      <c r="O77" s="404">
        <v>0.06</v>
      </c>
      <c r="P77" s="392">
        <f t="shared" si="7"/>
        <v>0.88975669159417592</v>
      </c>
      <c r="Q77" s="389" t="str">
        <f t="shared" si="8"/>
        <v>M-016</v>
      </c>
      <c r="R77" s="426" t="s">
        <v>298</v>
      </c>
      <c r="U77" s="196"/>
      <c r="V77" s="196"/>
      <c r="W77" s="196"/>
      <c r="X77" s="196"/>
      <c r="Y77" s="196"/>
      <c r="Z77" s="19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</row>
    <row r="78" spans="2:50" ht="30" customHeight="1" x14ac:dyDescent="0.2">
      <c r="B78" s="868"/>
      <c r="C78" s="416" t="s">
        <v>243</v>
      </c>
      <c r="D78" s="389" t="s">
        <v>205</v>
      </c>
      <c r="E78" s="389" t="s">
        <v>233</v>
      </c>
      <c r="F78" s="389" t="s">
        <v>304</v>
      </c>
      <c r="G78" s="389" t="s">
        <v>235</v>
      </c>
      <c r="H78" s="389" t="s">
        <v>392</v>
      </c>
      <c r="I78" s="412">
        <v>43228</v>
      </c>
      <c r="J78" s="234">
        <v>20</v>
      </c>
      <c r="K78" s="263"/>
      <c r="L78" s="263"/>
      <c r="M78" s="389">
        <v>0.11</v>
      </c>
      <c r="N78" s="260">
        <f t="shared" si="2"/>
        <v>20.000109999999999</v>
      </c>
      <c r="O78" s="404">
        <v>8.3000000000000004E-2</v>
      </c>
      <c r="P78" s="392">
        <f t="shared" si="7"/>
        <v>0.88975669159417592</v>
      </c>
      <c r="Q78" s="389" t="str">
        <f t="shared" si="8"/>
        <v>M-016</v>
      </c>
      <c r="R78" s="426" t="s">
        <v>298</v>
      </c>
      <c r="U78" s="196"/>
      <c r="V78" s="196"/>
      <c r="W78" s="196"/>
      <c r="X78" s="196"/>
      <c r="Y78" s="196"/>
      <c r="Z78" s="19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</row>
    <row r="79" spans="2:50" ht="30" customHeight="1" x14ac:dyDescent="0.2">
      <c r="B79" s="868"/>
      <c r="C79" s="416" t="s">
        <v>244</v>
      </c>
      <c r="D79" s="389" t="s">
        <v>205</v>
      </c>
      <c r="E79" s="389" t="s">
        <v>233</v>
      </c>
      <c r="F79" s="389" t="s">
        <v>304</v>
      </c>
      <c r="G79" s="389" t="s">
        <v>240</v>
      </c>
      <c r="H79" s="389" t="s">
        <v>392</v>
      </c>
      <c r="I79" s="412">
        <v>43228</v>
      </c>
      <c r="J79" s="234">
        <v>20</v>
      </c>
      <c r="K79" s="263"/>
      <c r="L79" s="263"/>
      <c r="M79" s="404">
        <v>0.1</v>
      </c>
      <c r="N79" s="260">
        <f t="shared" si="2"/>
        <v>20.0001</v>
      </c>
      <c r="O79" s="404">
        <v>8.3000000000000004E-2</v>
      </c>
      <c r="P79" s="392">
        <f t="shared" si="7"/>
        <v>0.88975669159417592</v>
      </c>
      <c r="Q79" s="389" t="str">
        <f t="shared" si="8"/>
        <v>M-016</v>
      </c>
      <c r="R79" s="426" t="s">
        <v>298</v>
      </c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</row>
    <row r="80" spans="2:50" ht="30" customHeight="1" x14ac:dyDescent="0.2">
      <c r="B80" s="868"/>
      <c r="C80" s="416" t="s">
        <v>245</v>
      </c>
      <c r="D80" s="389" t="s">
        <v>205</v>
      </c>
      <c r="E80" s="389" t="s">
        <v>233</v>
      </c>
      <c r="F80" s="389" t="s">
        <v>304</v>
      </c>
      <c r="G80" s="389" t="s">
        <v>235</v>
      </c>
      <c r="H80" s="389" t="s">
        <v>392</v>
      </c>
      <c r="I80" s="412">
        <v>43228</v>
      </c>
      <c r="J80" s="234">
        <v>50</v>
      </c>
      <c r="K80" s="263"/>
      <c r="L80" s="263"/>
      <c r="M80" s="404">
        <v>0.1</v>
      </c>
      <c r="N80" s="236">
        <f t="shared" si="2"/>
        <v>50.000100000000003</v>
      </c>
      <c r="O80" s="404">
        <v>0.1</v>
      </c>
      <c r="P80" s="392">
        <f t="shared" si="7"/>
        <v>0.88975669159417592</v>
      </c>
      <c r="Q80" s="389" t="str">
        <f t="shared" si="8"/>
        <v>M-016</v>
      </c>
      <c r="R80" s="426" t="s">
        <v>298</v>
      </c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</row>
    <row r="81" spans="2:50" ht="30" customHeight="1" x14ac:dyDescent="0.2">
      <c r="B81" s="868"/>
      <c r="C81" s="416" t="s">
        <v>246</v>
      </c>
      <c r="D81" s="389" t="s">
        <v>205</v>
      </c>
      <c r="E81" s="389" t="s">
        <v>233</v>
      </c>
      <c r="F81" s="389" t="s">
        <v>304</v>
      </c>
      <c r="G81" s="389" t="s">
        <v>235</v>
      </c>
      <c r="H81" s="389" t="s">
        <v>392</v>
      </c>
      <c r="I81" s="412">
        <v>43228</v>
      </c>
      <c r="J81" s="234">
        <v>100</v>
      </c>
      <c r="K81" s="263"/>
      <c r="L81" s="263"/>
      <c r="M81" s="389">
        <v>0.12</v>
      </c>
      <c r="N81" s="236">
        <f t="shared" si="2"/>
        <v>100.00012</v>
      </c>
      <c r="O81" s="389">
        <v>0.16</v>
      </c>
      <c r="P81" s="392">
        <f t="shared" si="7"/>
        <v>0.88975669159417592</v>
      </c>
      <c r="Q81" s="389" t="str">
        <f t="shared" si="8"/>
        <v>M-016</v>
      </c>
      <c r="R81" s="426" t="s">
        <v>298</v>
      </c>
      <c r="U81" s="196"/>
      <c r="V81" s="196"/>
      <c r="W81" s="196"/>
      <c r="X81" s="196"/>
      <c r="Y81" s="196"/>
      <c r="Z81" s="19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V81" s="276"/>
      <c r="AW81" s="276"/>
      <c r="AX81" s="276"/>
    </row>
    <row r="82" spans="2:50" ht="30" customHeight="1" x14ac:dyDescent="0.2">
      <c r="B82" s="868"/>
      <c r="C82" s="416" t="s">
        <v>247</v>
      </c>
      <c r="D82" s="389" t="s">
        <v>205</v>
      </c>
      <c r="E82" s="389" t="s">
        <v>233</v>
      </c>
      <c r="F82" s="389" t="s">
        <v>304</v>
      </c>
      <c r="G82" s="389" t="s">
        <v>235</v>
      </c>
      <c r="H82" s="389" t="s">
        <v>392</v>
      </c>
      <c r="I82" s="412">
        <v>43228</v>
      </c>
      <c r="J82" s="234">
        <v>200</v>
      </c>
      <c r="K82" s="263"/>
      <c r="L82" s="263"/>
      <c r="M82" s="389">
        <v>0.3</v>
      </c>
      <c r="N82" s="236">
        <f t="shared" si="2"/>
        <v>200.00030000000001</v>
      </c>
      <c r="O82" s="391">
        <v>0.33</v>
      </c>
      <c r="P82" s="392">
        <f t="shared" si="7"/>
        <v>0.88975669159417592</v>
      </c>
      <c r="Q82" s="389" t="str">
        <f t="shared" si="8"/>
        <v>M-016</v>
      </c>
      <c r="R82" s="426" t="s">
        <v>298</v>
      </c>
      <c r="U82" s="196"/>
      <c r="V82" s="196"/>
      <c r="W82" s="196"/>
      <c r="X82" s="196"/>
      <c r="Y82" s="196"/>
      <c r="Z82" s="19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V82" s="276"/>
      <c r="AW82" s="276"/>
      <c r="AX82" s="276"/>
    </row>
    <row r="83" spans="2:50" ht="30" customHeight="1" x14ac:dyDescent="0.2">
      <c r="B83" s="868"/>
      <c r="C83" s="416" t="s">
        <v>248</v>
      </c>
      <c r="D83" s="389" t="s">
        <v>205</v>
      </c>
      <c r="E83" s="389" t="s">
        <v>233</v>
      </c>
      <c r="F83" s="389" t="s">
        <v>304</v>
      </c>
      <c r="G83" s="389" t="s">
        <v>240</v>
      </c>
      <c r="H83" s="389" t="s">
        <v>392</v>
      </c>
      <c r="I83" s="412">
        <v>43228</v>
      </c>
      <c r="J83" s="234">
        <v>200</v>
      </c>
      <c r="K83" s="263"/>
      <c r="L83" s="263"/>
      <c r="M83" s="389">
        <v>0.4</v>
      </c>
      <c r="N83" s="236">
        <f t="shared" si="2"/>
        <v>200.00040000000001</v>
      </c>
      <c r="O83" s="391">
        <v>0.33</v>
      </c>
      <c r="P83" s="392">
        <f t="shared" si="7"/>
        <v>0.88975669159417592</v>
      </c>
      <c r="Q83" s="389" t="str">
        <f t="shared" si="8"/>
        <v>M-016</v>
      </c>
      <c r="R83" s="426" t="s">
        <v>298</v>
      </c>
      <c r="U83" s="196"/>
      <c r="V83" s="196"/>
      <c r="W83" s="196"/>
      <c r="X83" s="196"/>
      <c r="Y83" s="196"/>
      <c r="Z83" s="19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V83" s="276"/>
      <c r="AW83" s="276"/>
      <c r="AX83" s="276"/>
    </row>
    <row r="84" spans="2:50" ht="30" customHeight="1" x14ac:dyDescent="0.2">
      <c r="B84" s="868"/>
      <c r="C84" s="416" t="s">
        <v>249</v>
      </c>
      <c r="D84" s="389" t="s">
        <v>205</v>
      </c>
      <c r="E84" s="389" t="s">
        <v>233</v>
      </c>
      <c r="F84" s="389" t="s">
        <v>304</v>
      </c>
      <c r="G84" s="389" t="s">
        <v>235</v>
      </c>
      <c r="H84" s="389" t="s">
        <v>392</v>
      </c>
      <c r="I84" s="412">
        <v>43228</v>
      </c>
      <c r="J84" s="234">
        <v>500</v>
      </c>
      <c r="K84" s="263"/>
      <c r="L84" s="263"/>
      <c r="M84" s="389">
        <v>0.9</v>
      </c>
      <c r="N84" s="236">
        <f t="shared" si="2"/>
        <v>500.0009</v>
      </c>
      <c r="O84" s="391">
        <v>0.83</v>
      </c>
      <c r="P84" s="392">
        <f t="shared" si="7"/>
        <v>0.88975669159417592</v>
      </c>
      <c r="Q84" s="389" t="str">
        <f t="shared" si="8"/>
        <v>M-016</v>
      </c>
      <c r="R84" s="426" t="s">
        <v>298</v>
      </c>
      <c r="S84" s="196"/>
      <c r="T84" s="196"/>
      <c r="U84" s="196"/>
      <c r="V84" s="196"/>
      <c r="W84" s="196"/>
      <c r="X84" s="196"/>
      <c r="Y84" s="196"/>
      <c r="Z84" s="19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V84" s="276"/>
      <c r="AW84" s="276"/>
      <c r="AX84" s="276"/>
    </row>
    <row r="85" spans="2:50" ht="30" customHeight="1" x14ac:dyDescent="0.2">
      <c r="B85" s="868"/>
      <c r="C85" s="416" t="s">
        <v>250</v>
      </c>
      <c r="D85" s="389" t="s">
        <v>205</v>
      </c>
      <c r="E85" s="389" t="s">
        <v>233</v>
      </c>
      <c r="F85" s="389" t="s">
        <v>304</v>
      </c>
      <c r="G85" s="389" t="s">
        <v>235</v>
      </c>
      <c r="H85" s="389" t="s">
        <v>392</v>
      </c>
      <c r="I85" s="412">
        <v>43228</v>
      </c>
      <c r="J85" s="234">
        <v>1000</v>
      </c>
      <c r="K85" s="263"/>
      <c r="L85" s="263"/>
      <c r="M85" s="391">
        <v>-0.5</v>
      </c>
      <c r="N85" s="240">
        <f t="shared" si="2"/>
        <v>999.99950000000001</v>
      </c>
      <c r="O85" s="389">
        <v>1.6</v>
      </c>
      <c r="P85" s="392">
        <f t="shared" si="7"/>
        <v>0.88975669159417592</v>
      </c>
      <c r="Q85" s="389" t="str">
        <f t="shared" si="8"/>
        <v>M-016</v>
      </c>
      <c r="R85" s="426" t="s">
        <v>298</v>
      </c>
      <c r="S85" s="196"/>
      <c r="T85" s="196"/>
      <c r="U85" s="196"/>
      <c r="V85" s="196"/>
      <c r="W85" s="196"/>
      <c r="X85" s="196"/>
      <c r="Y85" s="196"/>
      <c r="Z85" s="19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V85" s="276"/>
      <c r="AW85" s="276"/>
      <c r="AX85" s="276"/>
    </row>
    <row r="86" spans="2:50" ht="30" customHeight="1" x14ac:dyDescent="0.2">
      <c r="B86" s="868"/>
      <c r="C86" s="416" t="s">
        <v>251</v>
      </c>
      <c r="D86" s="389" t="s">
        <v>205</v>
      </c>
      <c r="E86" s="389" t="s">
        <v>233</v>
      </c>
      <c r="F86" s="389" t="s">
        <v>304</v>
      </c>
      <c r="G86" s="389" t="s">
        <v>235</v>
      </c>
      <c r="H86" s="389" t="s">
        <v>392</v>
      </c>
      <c r="I86" s="412">
        <v>43228</v>
      </c>
      <c r="J86" s="234">
        <v>2000</v>
      </c>
      <c r="K86" s="263"/>
      <c r="L86" s="263"/>
      <c r="M86" s="391">
        <v>3.1</v>
      </c>
      <c r="N86" s="240">
        <f t="shared" si="2"/>
        <v>2000.0030999999999</v>
      </c>
      <c r="O86" s="391">
        <v>3</v>
      </c>
      <c r="P86" s="392">
        <f t="shared" si="7"/>
        <v>0.88975669159417592</v>
      </c>
      <c r="Q86" s="389" t="str">
        <f t="shared" si="8"/>
        <v>M-016</v>
      </c>
      <c r="R86" s="426" t="s">
        <v>298</v>
      </c>
      <c r="S86" s="196"/>
      <c r="T86" s="196"/>
      <c r="U86" s="196"/>
      <c r="V86" s="196"/>
      <c r="W86" s="196"/>
      <c r="X86" s="196"/>
      <c r="Y86" s="196"/>
      <c r="Z86" s="19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V86" s="276"/>
      <c r="AW86" s="276"/>
      <c r="AX86" s="276"/>
    </row>
    <row r="87" spans="2:50" ht="30" customHeight="1" x14ac:dyDescent="0.2">
      <c r="B87" s="868"/>
      <c r="C87" s="416" t="s">
        <v>252</v>
      </c>
      <c r="D87" s="389" t="s">
        <v>205</v>
      </c>
      <c r="E87" s="389" t="s">
        <v>233</v>
      </c>
      <c r="F87" s="389" t="s">
        <v>304</v>
      </c>
      <c r="G87" s="389" t="s">
        <v>240</v>
      </c>
      <c r="H87" s="389" t="s">
        <v>392</v>
      </c>
      <c r="I87" s="412">
        <v>43228</v>
      </c>
      <c r="J87" s="234">
        <v>2000</v>
      </c>
      <c r="K87" s="263"/>
      <c r="L87" s="263"/>
      <c r="M87" s="389">
        <v>3.2</v>
      </c>
      <c r="N87" s="240">
        <f t="shared" si="2"/>
        <v>2000.0032000000001</v>
      </c>
      <c r="O87" s="391">
        <v>3</v>
      </c>
      <c r="P87" s="392">
        <f t="shared" si="7"/>
        <v>0.88975669159417592</v>
      </c>
      <c r="Q87" s="389" t="str">
        <f>Q86</f>
        <v>M-016</v>
      </c>
      <c r="R87" s="426" t="s">
        <v>298</v>
      </c>
      <c r="S87" s="196"/>
      <c r="T87" s="196"/>
      <c r="U87" s="19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V87" s="276"/>
      <c r="AW87" s="276"/>
      <c r="AX87" s="276"/>
    </row>
    <row r="88" spans="2:50" ht="30" customHeight="1" thickBot="1" x14ac:dyDescent="0.25">
      <c r="B88" s="869"/>
      <c r="C88" s="417" t="s">
        <v>253</v>
      </c>
      <c r="D88" s="393" t="s">
        <v>205</v>
      </c>
      <c r="E88" s="393" t="s">
        <v>233</v>
      </c>
      <c r="F88" s="393" t="s">
        <v>304</v>
      </c>
      <c r="G88" s="393" t="s">
        <v>235</v>
      </c>
      <c r="H88" s="393" t="s">
        <v>392</v>
      </c>
      <c r="I88" s="413">
        <v>43228</v>
      </c>
      <c r="J88" s="252">
        <v>5000</v>
      </c>
      <c r="K88" s="264"/>
      <c r="L88" s="264"/>
      <c r="M88" s="393">
        <v>7.9</v>
      </c>
      <c r="N88" s="254">
        <f t="shared" si="2"/>
        <v>5000.0078999999996</v>
      </c>
      <c r="O88" s="405">
        <v>8</v>
      </c>
      <c r="P88" s="396">
        <f t="shared" si="7"/>
        <v>0.88975669159417592</v>
      </c>
      <c r="Q88" s="393" t="str">
        <f t="shared" si="8"/>
        <v>M-016</v>
      </c>
      <c r="R88" s="427" t="s">
        <v>298</v>
      </c>
      <c r="U88" s="19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V88" s="276"/>
      <c r="AW88" s="276"/>
      <c r="AX88" s="276"/>
    </row>
    <row r="89" spans="2:50" ht="30" customHeight="1" x14ac:dyDescent="0.2">
      <c r="B89" s="289"/>
      <c r="U89" s="19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V89" s="276"/>
      <c r="AW89" s="276"/>
      <c r="AX89" s="276"/>
    </row>
    <row r="90" spans="2:50" ht="30" customHeight="1" x14ac:dyDescent="0.2">
      <c r="B90" s="289"/>
      <c r="U90" s="19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V90" s="276"/>
      <c r="AW90" s="276"/>
      <c r="AX90" s="276"/>
    </row>
    <row r="91" spans="2:50" ht="30" customHeight="1" x14ac:dyDescent="0.2">
      <c r="O91" s="196"/>
      <c r="P91" s="196"/>
      <c r="Q91" s="196"/>
      <c r="R91" s="196"/>
      <c r="S91" s="196"/>
      <c r="T91" s="196"/>
      <c r="U91" s="19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V91" s="276"/>
      <c r="AW91" s="276"/>
      <c r="AX91" s="276"/>
    </row>
    <row r="92" spans="2:50" ht="30" customHeight="1" x14ac:dyDescent="0.2">
      <c r="O92" s="196"/>
      <c r="P92" s="196"/>
      <c r="Q92" s="196"/>
      <c r="R92" s="196"/>
      <c r="S92" s="196"/>
      <c r="T92" s="196"/>
      <c r="U92" s="19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V92" s="276"/>
      <c r="AW92" s="276"/>
      <c r="AX92" s="276"/>
    </row>
    <row r="93" spans="2:50" ht="30" customHeight="1" x14ac:dyDescent="0.2">
      <c r="O93" s="196"/>
      <c r="P93" s="196"/>
      <c r="Q93" s="196"/>
      <c r="R93" s="196"/>
      <c r="S93" s="196"/>
      <c r="T93" s="196"/>
      <c r="U93" s="19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V93" s="276"/>
      <c r="AW93" s="276"/>
      <c r="AX93" s="276"/>
    </row>
    <row r="94" spans="2:50" ht="30" customHeight="1" x14ac:dyDescent="0.2">
      <c r="O94" s="196"/>
      <c r="P94" s="196"/>
      <c r="Q94" s="196"/>
      <c r="R94" s="196"/>
      <c r="S94" s="196"/>
      <c r="T94" s="196"/>
      <c r="U94" s="19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V94" s="276"/>
      <c r="AW94" s="276"/>
      <c r="AX94" s="276"/>
    </row>
    <row r="95" spans="2:50" ht="30" customHeight="1" thickBot="1" x14ac:dyDescent="0.25">
      <c r="O95" s="196"/>
      <c r="P95" s="196"/>
      <c r="Q95" s="196"/>
      <c r="R95" s="196"/>
      <c r="S95" s="196"/>
      <c r="T95" s="196"/>
      <c r="U95" s="19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V95" s="276"/>
      <c r="AW95" s="276"/>
      <c r="AX95" s="276"/>
    </row>
    <row r="96" spans="2:50" ht="30" customHeight="1" x14ac:dyDescent="0.2">
      <c r="B96" s="289"/>
      <c r="C96" s="658" t="s">
        <v>422</v>
      </c>
      <c r="D96" s="659"/>
      <c r="E96" s="659"/>
      <c r="F96" s="659"/>
      <c r="G96" s="659"/>
      <c r="H96" s="659"/>
      <c r="I96" s="659"/>
      <c r="J96" s="659"/>
      <c r="K96" s="659"/>
      <c r="L96" s="659"/>
      <c r="M96" s="659"/>
      <c r="N96" s="659"/>
      <c r="O96" s="659"/>
      <c r="P96" s="659"/>
      <c r="Q96" s="659"/>
      <c r="R96" s="659"/>
      <c r="S96" s="659"/>
      <c r="T96" s="660"/>
      <c r="U96" s="19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V96" s="276"/>
      <c r="AW96" s="276"/>
      <c r="AX96" s="276"/>
    </row>
    <row r="97" spans="1:50" ht="30" customHeight="1" thickBot="1" x14ac:dyDescent="0.25">
      <c r="B97" s="289"/>
      <c r="C97" s="661"/>
      <c r="D97" s="662"/>
      <c r="E97" s="662"/>
      <c r="F97" s="662"/>
      <c r="G97" s="662"/>
      <c r="H97" s="662"/>
      <c r="I97" s="662"/>
      <c r="J97" s="662"/>
      <c r="K97" s="662"/>
      <c r="L97" s="662"/>
      <c r="M97" s="662"/>
      <c r="N97" s="662"/>
      <c r="O97" s="662"/>
      <c r="P97" s="662"/>
      <c r="Q97" s="662"/>
      <c r="R97" s="662"/>
      <c r="S97" s="662"/>
      <c r="T97" s="663"/>
      <c r="U97" s="19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V97" s="276"/>
      <c r="AW97" s="276"/>
      <c r="AX97" s="276"/>
    </row>
    <row r="98" spans="1:50" ht="30" customHeight="1" thickBot="1" x14ac:dyDescent="0.25">
      <c r="B98" s="289"/>
      <c r="C98" s="664" t="s">
        <v>331</v>
      </c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6"/>
      <c r="U98" s="19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V98" s="276"/>
      <c r="AW98" s="276"/>
      <c r="AX98" s="276"/>
    </row>
    <row r="99" spans="1:50" ht="30" customHeight="1" x14ac:dyDescent="0.2">
      <c r="B99" s="289"/>
      <c r="C99" s="276"/>
      <c r="D99" s="667" t="s">
        <v>3</v>
      </c>
      <c r="E99" s="647" t="s">
        <v>269</v>
      </c>
      <c r="F99" s="647" t="s">
        <v>270</v>
      </c>
      <c r="G99" s="647" t="s">
        <v>271</v>
      </c>
      <c r="H99" s="647" t="s">
        <v>272</v>
      </c>
      <c r="I99" s="647" t="s">
        <v>273</v>
      </c>
      <c r="J99" s="647" t="s">
        <v>274</v>
      </c>
      <c r="K99" s="647" t="s">
        <v>275</v>
      </c>
      <c r="L99" s="649" t="s">
        <v>276</v>
      </c>
      <c r="O99" s="651" t="s">
        <v>423</v>
      </c>
      <c r="P99" s="652" t="s">
        <v>273</v>
      </c>
      <c r="Q99" s="653"/>
      <c r="R99" s="654"/>
      <c r="S99" s="655" t="s">
        <v>275</v>
      </c>
      <c r="T99" s="649" t="s">
        <v>276</v>
      </c>
      <c r="U99" s="19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V99" s="276"/>
      <c r="AW99" s="276"/>
      <c r="AX99" s="276"/>
    </row>
    <row r="100" spans="1:50" ht="30" customHeight="1" thickBot="1" x14ac:dyDescent="0.25">
      <c r="B100" s="289"/>
      <c r="C100" s="290"/>
      <c r="D100" s="668"/>
      <c r="E100" s="648"/>
      <c r="F100" s="648"/>
      <c r="G100" s="648"/>
      <c r="H100" s="648"/>
      <c r="I100" s="648"/>
      <c r="J100" s="648"/>
      <c r="K100" s="648"/>
      <c r="L100" s="650"/>
      <c r="O100" s="651"/>
      <c r="P100" s="652"/>
      <c r="Q100" s="653"/>
      <c r="R100" s="654"/>
      <c r="S100" s="656"/>
      <c r="T100" s="650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V100" s="276"/>
      <c r="AW100" s="276"/>
      <c r="AX100" s="276"/>
    </row>
    <row r="101" spans="1:50" ht="30" customHeight="1" thickBot="1" x14ac:dyDescent="0.25">
      <c r="A101" s="291"/>
      <c r="B101" s="292"/>
      <c r="C101" s="293"/>
      <c r="D101" s="293"/>
      <c r="E101" s="293"/>
      <c r="F101" s="293"/>
      <c r="G101" s="293"/>
      <c r="H101" s="293"/>
      <c r="I101" s="294"/>
      <c r="J101" s="294"/>
      <c r="K101" s="294"/>
      <c r="L101" s="294"/>
      <c r="O101" s="295"/>
      <c r="P101" s="295"/>
      <c r="Q101" s="295"/>
      <c r="R101" s="295"/>
      <c r="S101" s="296"/>
      <c r="T101" s="297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V101" s="276"/>
      <c r="AW101" s="276"/>
      <c r="AX101" s="276"/>
    </row>
    <row r="102" spans="1:50" ht="30" customHeight="1" x14ac:dyDescent="0.2">
      <c r="A102" s="694" t="s">
        <v>346</v>
      </c>
      <c r="B102" s="695"/>
      <c r="C102" s="700" t="s">
        <v>350</v>
      </c>
      <c r="D102" s="703" t="s">
        <v>277</v>
      </c>
      <c r="E102" s="785" t="s">
        <v>319</v>
      </c>
      <c r="F102" s="428">
        <v>15.3</v>
      </c>
      <c r="G102" s="428">
        <v>0.1</v>
      </c>
      <c r="H102" s="431">
        <v>-0.1</v>
      </c>
      <c r="I102" s="443">
        <v>0.2</v>
      </c>
      <c r="J102" s="826">
        <v>2</v>
      </c>
      <c r="K102" s="843">
        <v>43258</v>
      </c>
      <c r="L102" s="836" t="s">
        <v>397</v>
      </c>
      <c r="O102" s="480"/>
      <c r="P102" s="302" t="s">
        <v>343</v>
      </c>
      <c r="Q102" s="375" t="s">
        <v>344</v>
      </c>
      <c r="R102" s="375" t="s">
        <v>345</v>
      </c>
      <c r="S102" s="675" t="s">
        <v>407</v>
      </c>
      <c r="T102" s="678" t="s">
        <v>408</v>
      </c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V102" s="276"/>
      <c r="AW102" s="276"/>
      <c r="AX102" s="276"/>
    </row>
    <row r="103" spans="1:50" ht="30" customHeight="1" x14ac:dyDescent="0.2">
      <c r="A103" s="696"/>
      <c r="B103" s="697"/>
      <c r="C103" s="701"/>
      <c r="D103" s="704"/>
      <c r="E103" s="786"/>
      <c r="F103" s="429">
        <v>24.9</v>
      </c>
      <c r="G103" s="433">
        <v>0.1</v>
      </c>
      <c r="H103" s="432">
        <v>0</v>
      </c>
      <c r="I103" s="429">
        <v>0.2</v>
      </c>
      <c r="J103" s="827"/>
      <c r="K103" s="831"/>
      <c r="L103" s="837"/>
      <c r="O103" s="681" t="s">
        <v>369</v>
      </c>
      <c r="P103" s="416">
        <f>I102</f>
        <v>0.2</v>
      </c>
      <c r="Q103" s="442">
        <f>I105</f>
        <v>1.7</v>
      </c>
      <c r="R103" s="382">
        <f>I108</f>
        <v>0.06</v>
      </c>
      <c r="S103" s="676"/>
      <c r="T103" s="679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V103" s="276"/>
      <c r="AW103" s="276"/>
      <c r="AX103" s="276"/>
    </row>
    <row r="104" spans="1:50" ht="30" customHeight="1" thickBot="1" x14ac:dyDescent="0.25">
      <c r="A104" s="698"/>
      <c r="B104" s="699"/>
      <c r="C104" s="701"/>
      <c r="D104" s="704"/>
      <c r="E104" s="786"/>
      <c r="F104" s="430">
        <v>29.7</v>
      </c>
      <c r="G104" s="433">
        <v>0.1</v>
      </c>
      <c r="H104" s="432">
        <v>0</v>
      </c>
      <c r="I104" s="429">
        <v>0.2</v>
      </c>
      <c r="J104" s="828"/>
      <c r="K104" s="832"/>
      <c r="L104" s="838"/>
      <c r="O104" s="682"/>
      <c r="P104" s="310"/>
      <c r="Q104" s="311"/>
      <c r="R104" s="311"/>
      <c r="S104" s="677"/>
      <c r="T104" s="680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V104" s="276"/>
      <c r="AW104" s="276"/>
      <c r="AX104" s="276"/>
    </row>
    <row r="105" spans="1:50" ht="30" customHeight="1" x14ac:dyDescent="0.2">
      <c r="A105" s="683" t="s">
        <v>347</v>
      </c>
      <c r="B105" s="684"/>
      <c r="C105" s="701"/>
      <c r="D105" s="704"/>
      <c r="E105" s="786"/>
      <c r="F105" s="429">
        <v>33.1</v>
      </c>
      <c r="G105" s="433">
        <v>0.1</v>
      </c>
      <c r="H105" s="429">
        <v>-3.1</v>
      </c>
      <c r="I105" s="429">
        <v>1.7</v>
      </c>
      <c r="J105" s="829">
        <v>2</v>
      </c>
      <c r="K105" s="830">
        <v>43264</v>
      </c>
      <c r="L105" s="839" t="s">
        <v>398</v>
      </c>
      <c r="O105" s="196"/>
      <c r="P105" s="196"/>
      <c r="Q105" s="196"/>
      <c r="R105" s="196"/>
      <c r="S105" s="196"/>
      <c r="T105" s="19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V105" s="276"/>
      <c r="AW105" s="276"/>
      <c r="AX105" s="276"/>
    </row>
    <row r="106" spans="1:50" ht="30" customHeight="1" x14ac:dyDescent="0.2">
      <c r="A106" s="685"/>
      <c r="B106" s="686"/>
      <c r="C106" s="701"/>
      <c r="D106" s="704"/>
      <c r="E106" s="786"/>
      <c r="F106" s="430">
        <v>51</v>
      </c>
      <c r="G106" s="433">
        <v>0.1</v>
      </c>
      <c r="H106" s="430">
        <v>-1</v>
      </c>
      <c r="I106" s="429">
        <v>1.7</v>
      </c>
      <c r="J106" s="827"/>
      <c r="K106" s="831"/>
      <c r="L106" s="837"/>
      <c r="O106" s="196"/>
      <c r="P106" s="196"/>
      <c r="Q106" s="196"/>
      <c r="R106" s="196"/>
      <c r="S106" s="196"/>
      <c r="T106" s="19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V106" s="276"/>
      <c r="AW106" s="276"/>
      <c r="AX106" s="276"/>
    </row>
    <row r="107" spans="1:50" ht="30" customHeight="1" thickBot="1" x14ac:dyDescent="0.25">
      <c r="A107" s="687"/>
      <c r="B107" s="688"/>
      <c r="C107" s="701"/>
      <c r="D107" s="704"/>
      <c r="E107" s="786"/>
      <c r="F107" s="429">
        <v>77.2</v>
      </c>
      <c r="G107" s="433">
        <v>0.1</v>
      </c>
      <c r="H107" s="429">
        <v>2.8</v>
      </c>
      <c r="I107" s="429">
        <v>1.7</v>
      </c>
      <c r="J107" s="828"/>
      <c r="K107" s="832"/>
      <c r="L107" s="838"/>
      <c r="O107" s="196"/>
      <c r="P107" s="196"/>
      <c r="Q107" s="196"/>
      <c r="R107" s="196"/>
      <c r="S107" s="19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V107" s="276"/>
      <c r="AW107" s="276"/>
      <c r="AX107" s="276"/>
    </row>
    <row r="108" spans="1:50" ht="30" customHeight="1" x14ac:dyDescent="0.2">
      <c r="A108" s="685" t="s">
        <v>424</v>
      </c>
      <c r="B108" s="686"/>
      <c r="C108" s="701"/>
      <c r="D108" s="704"/>
      <c r="E108" s="786"/>
      <c r="F108" s="434">
        <v>397.9</v>
      </c>
      <c r="G108" s="434">
        <v>0.1</v>
      </c>
      <c r="H108" s="434">
        <v>-1.3</v>
      </c>
      <c r="I108" s="823">
        <v>0.06</v>
      </c>
      <c r="J108" s="823">
        <v>2</v>
      </c>
      <c r="K108" s="833">
        <v>42625</v>
      </c>
      <c r="L108" s="840" t="s">
        <v>321</v>
      </c>
      <c r="O108" s="196"/>
      <c r="P108" s="196"/>
      <c r="Q108" s="196"/>
      <c r="R108" s="196"/>
      <c r="S108" s="19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V108" s="276"/>
      <c r="AW108" s="276"/>
      <c r="AX108" s="276"/>
    </row>
    <row r="109" spans="1:50" ht="30" customHeight="1" x14ac:dyDescent="0.2">
      <c r="A109" s="685"/>
      <c r="B109" s="686"/>
      <c r="C109" s="701"/>
      <c r="D109" s="704"/>
      <c r="E109" s="786"/>
      <c r="F109" s="434">
        <v>753.1</v>
      </c>
      <c r="G109" s="434">
        <v>0.1</v>
      </c>
      <c r="H109" s="434">
        <v>-0.74</v>
      </c>
      <c r="I109" s="824"/>
      <c r="J109" s="824"/>
      <c r="K109" s="834"/>
      <c r="L109" s="841"/>
      <c r="O109" s="196"/>
      <c r="P109" s="196"/>
      <c r="Q109" s="196"/>
      <c r="R109" s="196"/>
      <c r="S109" s="19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V109" s="276"/>
      <c r="AW109" s="276"/>
      <c r="AX109" s="276"/>
    </row>
    <row r="110" spans="1:50" ht="30" customHeight="1" thickBot="1" x14ac:dyDescent="0.25">
      <c r="A110" s="687"/>
      <c r="B110" s="688"/>
      <c r="C110" s="702"/>
      <c r="D110" s="705"/>
      <c r="E110" s="787"/>
      <c r="F110" s="435">
        <v>899</v>
      </c>
      <c r="G110" s="436">
        <v>0.1</v>
      </c>
      <c r="H110" s="436">
        <v>-0.09</v>
      </c>
      <c r="I110" s="825"/>
      <c r="J110" s="825"/>
      <c r="K110" s="835"/>
      <c r="L110" s="842"/>
      <c r="O110" s="196"/>
      <c r="P110" s="196"/>
      <c r="Q110" s="196"/>
      <c r="R110" s="196"/>
      <c r="S110" s="19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V110" s="276"/>
      <c r="AW110" s="276"/>
      <c r="AX110" s="276"/>
    </row>
    <row r="111" spans="1:50" ht="30" customHeight="1" thickBot="1" x14ac:dyDescent="0.25">
      <c r="A111" s="315"/>
      <c r="B111" s="315"/>
      <c r="C111" s="316"/>
      <c r="D111" s="317"/>
      <c r="E111" s="318"/>
      <c r="F111" s="319"/>
      <c r="G111" s="316"/>
      <c r="H111" s="316"/>
      <c r="I111" s="316"/>
      <c r="J111" s="316"/>
      <c r="K111" s="320"/>
      <c r="L111" s="316"/>
      <c r="O111" s="196"/>
      <c r="P111" s="196"/>
      <c r="Q111" s="196"/>
      <c r="R111" s="196"/>
      <c r="S111" s="196"/>
      <c r="U111" s="19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</row>
    <row r="112" spans="1:50" ht="30" customHeight="1" thickBot="1" x14ac:dyDescent="0.25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O112" s="196"/>
      <c r="P112" s="196"/>
      <c r="Q112" s="196"/>
      <c r="R112" s="196"/>
      <c r="S112" s="196"/>
      <c r="U112" s="19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</row>
    <row r="113" spans="1:50" ht="30" customHeight="1" x14ac:dyDescent="0.2">
      <c r="A113" s="724" t="s">
        <v>346</v>
      </c>
      <c r="B113" s="725"/>
      <c r="C113" s="700" t="s">
        <v>354</v>
      </c>
      <c r="D113" s="730" t="s">
        <v>277</v>
      </c>
      <c r="E113" s="785">
        <v>19506160802033</v>
      </c>
      <c r="F113" s="431">
        <v>15.4</v>
      </c>
      <c r="G113" s="428">
        <v>0.1</v>
      </c>
      <c r="H113" s="428">
        <v>-0.2</v>
      </c>
      <c r="I113" s="428">
        <v>0.2</v>
      </c>
      <c r="J113" s="818">
        <v>2</v>
      </c>
      <c r="K113" s="820">
        <v>43258</v>
      </c>
      <c r="L113" s="800" t="s">
        <v>399</v>
      </c>
      <c r="O113" s="321"/>
      <c r="P113" s="322" t="s">
        <v>343</v>
      </c>
      <c r="Q113" s="323" t="s">
        <v>344</v>
      </c>
      <c r="R113" s="323" t="s">
        <v>345</v>
      </c>
      <c r="S113" s="711" t="s">
        <v>409</v>
      </c>
      <c r="T113" s="712" t="s">
        <v>410</v>
      </c>
      <c r="U113" s="19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</row>
    <row r="114" spans="1:50" ht="30" customHeight="1" x14ac:dyDescent="0.2">
      <c r="A114" s="726"/>
      <c r="B114" s="727"/>
      <c r="C114" s="701"/>
      <c r="D114" s="707"/>
      <c r="E114" s="786"/>
      <c r="F114" s="429">
        <v>24.8</v>
      </c>
      <c r="G114" s="429">
        <v>0.1</v>
      </c>
      <c r="H114" s="429">
        <v>0.1</v>
      </c>
      <c r="I114" s="429">
        <v>0.3</v>
      </c>
      <c r="J114" s="786"/>
      <c r="K114" s="786"/>
      <c r="L114" s="801"/>
      <c r="O114" s="681" t="s">
        <v>342</v>
      </c>
      <c r="P114" s="416">
        <f>I114</f>
        <v>0.3</v>
      </c>
      <c r="Q114" s="447">
        <f>I116</f>
        <v>1.7</v>
      </c>
      <c r="R114" s="325">
        <f>I119</f>
        <v>0.21</v>
      </c>
      <c r="S114" s="676"/>
      <c r="T114" s="679"/>
      <c r="U114" s="19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</row>
    <row r="115" spans="1:50" ht="30" customHeight="1" thickBot="1" x14ac:dyDescent="0.25">
      <c r="A115" s="728"/>
      <c r="B115" s="729"/>
      <c r="C115" s="701"/>
      <c r="D115" s="707"/>
      <c r="E115" s="786"/>
      <c r="F115" s="429">
        <v>34.4</v>
      </c>
      <c r="G115" s="429">
        <v>0.1</v>
      </c>
      <c r="H115" s="429">
        <v>0.1</v>
      </c>
      <c r="I115" s="429">
        <v>0.4</v>
      </c>
      <c r="J115" s="819"/>
      <c r="K115" s="819"/>
      <c r="L115" s="802"/>
      <c r="O115" s="682"/>
      <c r="P115" s="310"/>
      <c r="Q115" s="311"/>
      <c r="R115" s="311"/>
      <c r="S115" s="677"/>
      <c r="T115" s="680"/>
      <c r="U115" s="19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</row>
    <row r="116" spans="1:50" ht="30" customHeight="1" x14ac:dyDescent="0.2">
      <c r="A116" s="683" t="s">
        <v>347</v>
      </c>
      <c r="B116" s="684"/>
      <c r="C116" s="701"/>
      <c r="D116" s="707"/>
      <c r="E116" s="786"/>
      <c r="F116" s="429">
        <v>32.5</v>
      </c>
      <c r="G116" s="437">
        <v>0.1</v>
      </c>
      <c r="H116" s="437">
        <v>-2.5</v>
      </c>
      <c r="I116" s="437">
        <v>1.7</v>
      </c>
      <c r="J116" s="821">
        <v>2</v>
      </c>
      <c r="K116" s="822">
        <v>43264</v>
      </c>
      <c r="L116" s="800" t="s">
        <v>400</v>
      </c>
      <c r="O116" s="196"/>
      <c r="P116" s="196"/>
      <c r="Q116" s="196"/>
      <c r="R116" s="196"/>
      <c r="U116" s="19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</row>
    <row r="117" spans="1:50" ht="30" customHeight="1" x14ac:dyDescent="0.2">
      <c r="A117" s="685"/>
      <c r="B117" s="686"/>
      <c r="C117" s="701"/>
      <c r="D117" s="707"/>
      <c r="E117" s="786"/>
      <c r="F117" s="429">
        <v>50.6</v>
      </c>
      <c r="G117" s="437">
        <v>0.1</v>
      </c>
      <c r="H117" s="437">
        <v>-0.6</v>
      </c>
      <c r="I117" s="437">
        <v>1.7</v>
      </c>
      <c r="J117" s="786"/>
      <c r="K117" s="786"/>
      <c r="L117" s="801"/>
      <c r="O117" s="196"/>
      <c r="P117" s="196"/>
      <c r="Q117" s="196"/>
      <c r="R117" s="196"/>
      <c r="U117" s="19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</row>
    <row r="118" spans="1:50" ht="30" customHeight="1" thickBot="1" x14ac:dyDescent="0.25">
      <c r="A118" s="687"/>
      <c r="B118" s="688"/>
      <c r="C118" s="701"/>
      <c r="D118" s="707"/>
      <c r="E118" s="786"/>
      <c r="F118" s="429">
        <v>77.099999999999994</v>
      </c>
      <c r="G118" s="437">
        <v>0.1</v>
      </c>
      <c r="H118" s="437">
        <v>2.9</v>
      </c>
      <c r="I118" s="437">
        <v>1.7</v>
      </c>
      <c r="J118" s="819"/>
      <c r="K118" s="819"/>
      <c r="L118" s="802"/>
      <c r="O118" s="196"/>
      <c r="P118" s="196"/>
      <c r="Q118" s="196"/>
      <c r="R118" s="196"/>
      <c r="U118" s="196"/>
      <c r="V118" s="19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</row>
    <row r="119" spans="1:50" ht="30" customHeight="1" x14ac:dyDescent="0.2">
      <c r="A119" s="683" t="s">
        <v>424</v>
      </c>
      <c r="B119" s="684"/>
      <c r="C119" s="701"/>
      <c r="D119" s="707"/>
      <c r="E119" s="786"/>
      <c r="F119" s="438">
        <v>499</v>
      </c>
      <c r="G119" s="439">
        <v>0.1</v>
      </c>
      <c r="H119" s="439">
        <v>-1</v>
      </c>
      <c r="I119" s="788">
        <v>0.21</v>
      </c>
      <c r="J119" s="791">
        <v>1.6</v>
      </c>
      <c r="K119" s="792">
        <v>42671</v>
      </c>
      <c r="L119" s="793" t="s">
        <v>318</v>
      </c>
      <c r="O119" s="196"/>
      <c r="P119" s="196"/>
      <c r="Q119" s="196"/>
      <c r="R119" s="196"/>
      <c r="T119" s="328"/>
      <c r="U119" s="196"/>
      <c r="V119" s="19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</row>
    <row r="120" spans="1:50" ht="30" customHeight="1" x14ac:dyDescent="0.2">
      <c r="A120" s="685"/>
      <c r="B120" s="686"/>
      <c r="C120" s="701"/>
      <c r="D120" s="707"/>
      <c r="E120" s="786"/>
      <c r="F120" s="434">
        <v>799.8</v>
      </c>
      <c r="G120" s="439">
        <v>0.1</v>
      </c>
      <c r="H120" s="439">
        <v>-0.4</v>
      </c>
      <c r="I120" s="789"/>
      <c r="J120" s="789"/>
      <c r="K120" s="789"/>
      <c r="L120" s="794"/>
      <c r="O120" s="196"/>
      <c r="P120" s="196"/>
      <c r="Q120" s="196"/>
      <c r="R120" s="196"/>
      <c r="T120" s="274"/>
      <c r="U120" s="196"/>
      <c r="V120" s="196"/>
    </row>
    <row r="121" spans="1:50" ht="30" customHeight="1" thickBot="1" x14ac:dyDescent="0.25">
      <c r="A121" s="687"/>
      <c r="B121" s="688"/>
      <c r="C121" s="702"/>
      <c r="D121" s="708"/>
      <c r="E121" s="787"/>
      <c r="F121" s="436">
        <v>1099.8</v>
      </c>
      <c r="G121" s="440">
        <v>0.1</v>
      </c>
      <c r="H121" s="440">
        <v>-0.4</v>
      </c>
      <c r="I121" s="790"/>
      <c r="J121" s="790"/>
      <c r="K121" s="790"/>
      <c r="L121" s="795"/>
      <c r="O121" s="196"/>
      <c r="P121" s="196"/>
      <c r="Q121" s="196"/>
      <c r="R121" s="196"/>
      <c r="T121" s="274"/>
      <c r="U121" s="196"/>
      <c r="V121" s="196"/>
    </row>
    <row r="122" spans="1:50" ht="30" customHeight="1" thickBot="1" x14ac:dyDescent="0.25">
      <c r="A122" s="330"/>
      <c r="B122" s="331"/>
      <c r="C122" s="248"/>
      <c r="D122" s="332"/>
      <c r="E122" s="333"/>
      <c r="F122" s="248"/>
      <c r="G122" s="248"/>
      <c r="H122" s="248"/>
      <c r="I122" s="248"/>
      <c r="J122" s="248"/>
      <c r="K122" s="334"/>
      <c r="L122" s="335"/>
      <c r="O122" s="196"/>
      <c r="P122" s="196"/>
      <c r="Q122" s="196"/>
      <c r="R122" s="196"/>
      <c r="T122" s="274"/>
      <c r="U122" s="196"/>
      <c r="V122" s="196"/>
    </row>
    <row r="123" spans="1:50" ht="30" customHeight="1" thickBot="1" x14ac:dyDescent="0.25">
      <c r="A123" s="336"/>
      <c r="B123" s="295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O123" s="196"/>
      <c r="P123" s="196"/>
      <c r="Q123" s="196"/>
      <c r="R123" s="196"/>
      <c r="T123" s="274"/>
      <c r="U123" s="196"/>
      <c r="V123" s="196"/>
    </row>
    <row r="124" spans="1:50" ht="30" customHeight="1" x14ac:dyDescent="0.2">
      <c r="A124" s="694" t="s">
        <v>346</v>
      </c>
      <c r="B124" s="741"/>
      <c r="C124" s="700" t="s">
        <v>355</v>
      </c>
      <c r="D124" s="746" t="s">
        <v>277</v>
      </c>
      <c r="E124" s="785">
        <v>19406160802033</v>
      </c>
      <c r="F124" s="431">
        <v>15.3</v>
      </c>
      <c r="G124" s="428">
        <v>0.1</v>
      </c>
      <c r="H124" s="431">
        <v>0</v>
      </c>
      <c r="I124" s="430">
        <v>0.2</v>
      </c>
      <c r="J124" s="806">
        <v>2</v>
      </c>
      <c r="K124" s="817">
        <v>43266</v>
      </c>
      <c r="L124" s="803" t="s">
        <v>401</v>
      </c>
      <c r="O124" s="321"/>
      <c r="P124" s="322" t="s">
        <v>343</v>
      </c>
      <c r="Q124" s="323" t="s">
        <v>344</v>
      </c>
      <c r="R124" s="323" t="s">
        <v>345</v>
      </c>
      <c r="S124" s="711" t="s">
        <v>411</v>
      </c>
      <c r="T124" s="712" t="s">
        <v>412</v>
      </c>
      <c r="U124" s="196"/>
      <c r="V124" s="196"/>
    </row>
    <row r="125" spans="1:50" ht="30" customHeight="1" thickBot="1" x14ac:dyDescent="0.25">
      <c r="A125" s="742"/>
      <c r="B125" s="743"/>
      <c r="C125" s="701"/>
      <c r="D125" s="747"/>
      <c r="E125" s="786"/>
      <c r="F125" s="429">
        <v>24.8</v>
      </c>
      <c r="G125" s="429">
        <v>0.1</v>
      </c>
      <c r="H125" s="430">
        <v>0</v>
      </c>
      <c r="I125" s="430">
        <v>0.2</v>
      </c>
      <c r="J125" s="804"/>
      <c r="K125" s="804"/>
      <c r="L125" s="804"/>
      <c r="O125" s="681" t="s">
        <v>370</v>
      </c>
      <c r="P125" s="416">
        <f>I124</f>
        <v>0.2</v>
      </c>
      <c r="Q125" s="442">
        <f>I127</f>
        <v>1.7</v>
      </c>
      <c r="R125" s="382">
        <f>I130</f>
        <v>0.21</v>
      </c>
      <c r="S125" s="676"/>
      <c r="T125" s="679"/>
      <c r="U125" s="196"/>
      <c r="V125" s="196"/>
    </row>
    <row r="126" spans="1:50" ht="30" customHeight="1" thickBot="1" x14ac:dyDescent="0.25">
      <c r="A126" s="744"/>
      <c r="B126" s="745"/>
      <c r="C126" s="701"/>
      <c r="D126" s="747"/>
      <c r="E126" s="786"/>
      <c r="F126" s="429">
        <v>34.4</v>
      </c>
      <c r="G126" s="433">
        <v>0.1</v>
      </c>
      <c r="H126" s="428">
        <v>-0.1</v>
      </c>
      <c r="I126" s="429">
        <v>0.4</v>
      </c>
      <c r="J126" s="804"/>
      <c r="K126" s="804"/>
      <c r="L126" s="804"/>
      <c r="O126" s="682"/>
      <c r="P126" s="310"/>
      <c r="Q126" s="311"/>
      <c r="R126" s="311"/>
      <c r="S126" s="677"/>
      <c r="T126" s="680"/>
      <c r="U126" s="196"/>
      <c r="V126" s="196"/>
    </row>
    <row r="127" spans="1:50" ht="30" customHeight="1" x14ac:dyDescent="0.2">
      <c r="A127" s="683" t="s">
        <v>347</v>
      </c>
      <c r="B127" s="749"/>
      <c r="C127" s="701"/>
      <c r="D127" s="747"/>
      <c r="E127" s="786"/>
      <c r="F127" s="429">
        <v>32.5</v>
      </c>
      <c r="G127" s="429">
        <v>0.1</v>
      </c>
      <c r="H127" s="429">
        <v>-2.5</v>
      </c>
      <c r="I127" s="429">
        <v>1.7</v>
      </c>
      <c r="J127" s="803">
        <v>2</v>
      </c>
      <c r="K127" s="817">
        <v>43266</v>
      </c>
      <c r="L127" s="803" t="s">
        <v>402</v>
      </c>
      <c r="O127" s="196"/>
      <c r="P127" s="196"/>
      <c r="Q127" s="196"/>
      <c r="R127" s="196"/>
      <c r="T127" s="274"/>
      <c r="U127" s="196"/>
      <c r="V127" s="196"/>
    </row>
    <row r="128" spans="1:50" ht="30" customHeight="1" x14ac:dyDescent="0.2">
      <c r="A128" s="685"/>
      <c r="B128" s="750"/>
      <c r="C128" s="701"/>
      <c r="D128" s="747"/>
      <c r="E128" s="786"/>
      <c r="F128" s="429">
        <v>50.8</v>
      </c>
      <c r="G128" s="429">
        <v>0.1</v>
      </c>
      <c r="H128" s="429">
        <v>-0.8</v>
      </c>
      <c r="I128" s="429">
        <v>1.7</v>
      </c>
      <c r="J128" s="804">
        <v>2</v>
      </c>
      <c r="K128" s="804"/>
      <c r="L128" s="804"/>
      <c r="O128" s="196"/>
      <c r="P128" s="196"/>
      <c r="Q128" s="196"/>
      <c r="R128" s="196"/>
      <c r="T128" s="274"/>
      <c r="U128" s="196"/>
      <c r="V128" s="196"/>
    </row>
    <row r="129" spans="1:22" ht="30" customHeight="1" thickBot="1" x14ac:dyDescent="0.25">
      <c r="A129" s="687"/>
      <c r="B129" s="751"/>
      <c r="C129" s="701"/>
      <c r="D129" s="747"/>
      <c r="E129" s="786"/>
      <c r="F129" s="429">
        <v>78.2</v>
      </c>
      <c r="G129" s="429">
        <v>0.1</v>
      </c>
      <c r="H129" s="429">
        <v>1.8</v>
      </c>
      <c r="I129" s="429">
        <v>1.7</v>
      </c>
      <c r="J129" s="804"/>
      <c r="K129" s="804"/>
      <c r="L129" s="804"/>
      <c r="O129" s="196"/>
      <c r="P129" s="196"/>
      <c r="Q129" s="196"/>
      <c r="R129" s="196"/>
      <c r="T129" s="274"/>
      <c r="U129" s="196"/>
      <c r="V129" s="196"/>
    </row>
    <row r="130" spans="1:22" ht="30" customHeight="1" x14ac:dyDescent="0.2">
      <c r="A130" s="683" t="s">
        <v>424</v>
      </c>
      <c r="B130" s="749"/>
      <c r="C130" s="701"/>
      <c r="D130" s="747"/>
      <c r="E130" s="786"/>
      <c r="F130" s="438">
        <v>499</v>
      </c>
      <c r="G130" s="434">
        <v>0.1</v>
      </c>
      <c r="H130" s="438">
        <v>-1</v>
      </c>
      <c r="I130" s="807">
        <v>0.21</v>
      </c>
      <c r="J130" s="807">
        <v>2</v>
      </c>
      <c r="K130" s="813">
        <v>42671</v>
      </c>
      <c r="L130" s="797" t="s">
        <v>315</v>
      </c>
      <c r="O130" s="196"/>
      <c r="P130" s="196"/>
      <c r="Q130" s="196"/>
      <c r="R130" s="196"/>
      <c r="T130" s="274"/>
      <c r="U130" s="196"/>
      <c r="V130" s="196"/>
    </row>
    <row r="131" spans="1:22" ht="30" customHeight="1" x14ac:dyDescent="0.2">
      <c r="A131" s="685"/>
      <c r="B131" s="750"/>
      <c r="C131" s="701"/>
      <c r="D131" s="747"/>
      <c r="E131" s="786"/>
      <c r="F131" s="434">
        <v>799.8</v>
      </c>
      <c r="G131" s="434">
        <v>0.1</v>
      </c>
      <c r="H131" s="438">
        <v>-0.4</v>
      </c>
      <c r="I131" s="808">
        <v>0.17</v>
      </c>
      <c r="J131" s="808">
        <v>2</v>
      </c>
      <c r="K131" s="808">
        <v>42671</v>
      </c>
      <c r="L131" s="798" t="s">
        <v>315</v>
      </c>
      <c r="O131" s="196"/>
      <c r="P131" s="196"/>
      <c r="Q131" s="196"/>
      <c r="R131" s="196"/>
      <c r="T131" s="274"/>
      <c r="U131" s="196"/>
      <c r="V131" s="196"/>
    </row>
    <row r="132" spans="1:22" ht="30" customHeight="1" thickBot="1" x14ac:dyDescent="0.25">
      <c r="A132" s="687"/>
      <c r="B132" s="751"/>
      <c r="C132" s="702"/>
      <c r="D132" s="748"/>
      <c r="E132" s="787"/>
      <c r="F132" s="436">
        <v>1099.9000000000001</v>
      </c>
      <c r="G132" s="436">
        <v>0.1</v>
      </c>
      <c r="H132" s="435">
        <v>-0.3</v>
      </c>
      <c r="I132" s="809"/>
      <c r="J132" s="809"/>
      <c r="K132" s="809"/>
      <c r="L132" s="799"/>
      <c r="O132" s="196"/>
      <c r="P132" s="196"/>
      <c r="Q132" s="196"/>
      <c r="R132" s="196"/>
      <c r="T132" s="274"/>
      <c r="U132" s="196"/>
      <c r="V132" s="196"/>
    </row>
    <row r="133" spans="1:22" ht="30" customHeight="1" thickBot="1" x14ac:dyDescent="0.25">
      <c r="A133" s="291"/>
      <c r="B133" s="294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O133" s="196"/>
      <c r="P133" s="196"/>
      <c r="Q133" s="196"/>
      <c r="R133" s="196"/>
      <c r="T133" s="274"/>
      <c r="U133" s="196"/>
      <c r="V133" s="196"/>
    </row>
    <row r="134" spans="1:22" ht="30" customHeight="1" x14ac:dyDescent="0.2">
      <c r="A134" s="759" t="s">
        <v>346</v>
      </c>
      <c r="B134" s="746"/>
      <c r="C134" s="731" t="s">
        <v>358</v>
      </c>
      <c r="D134" s="746" t="s">
        <v>277</v>
      </c>
      <c r="E134" s="785" t="s">
        <v>309</v>
      </c>
      <c r="F134" s="428">
        <v>15.3</v>
      </c>
      <c r="G134" s="429">
        <v>0.1</v>
      </c>
      <c r="H134" s="431">
        <v>-0.1</v>
      </c>
      <c r="I134" s="445">
        <v>0.2</v>
      </c>
      <c r="J134" s="816">
        <v>2</v>
      </c>
      <c r="K134" s="805">
        <v>43252</v>
      </c>
      <c r="L134" s="800" t="s">
        <v>403</v>
      </c>
      <c r="O134" s="321"/>
      <c r="P134" s="322" t="s">
        <v>343</v>
      </c>
      <c r="Q134" s="323" t="s">
        <v>344</v>
      </c>
      <c r="R134" s="323" t="s">
        <v>345</v>
      </c>
      <c r="S134" s="711" t="s">
        <v>414</v>
      </c>
      <c r="T134" s="712" t="s">
        <v>413</v>
      </c>
      <c r="U134" s="196"/>
      <c r="V134" s="196"/>
    </row>
    <row r="135" spans="1:22" ht="30" customHeight="1" x14ac:dyDescent="0.2">
      <c r="A135" s="760"/>
      <c r="B135" s="747"/>
      <c r="C135" s="707"/>
      <c r="D135" s="747"/>
      <c r="E135" s="786"/>
      <c r="F135" s="429">
        <v>24.9</v>
      </c>
      <c r="G135" s="429">
        <v>0.1</v>
      </c>
      <c r="H135" s="430">
        <v>-0.1</v>
      </c>
      <c r="I135" s="445">
        <v>0.2</v>
      </c>
      <c r="J135" s="815"/>
      <c r="K135" s="804"/>
      <c r="L135" s="801"/>
      <c r="O135" s="681" t="s">
        <v>338</v>
      </c>
      <c r="P135" s="448">
        <f>I134</f>
        <v>0.2</v>
      </c>
      <c r="Q135" s="442">
        <f>I137</f>
        <v>1.7</v>
      </c>
      <c r="R135" s="382">
        <f>I140</f>
        <v>6.4000000000000001E-2</v>
      </c>
      <c r="S135" s="676"/>
      <c r="T135" s="679"/>
      <c r="U135" s="196"/>
      <c r="V135" s="196"/>
    </row>
    <row r="136" spans="1:22" ht="30" customHeight="1" thickBot="1" x14ac:dyDescent="0.25">
      <c r="A136" s="760"/>
      <c r="B136" s="747"/>
      <c r="C136" s="707"/>
      <c r="D136" s="747"/>
      <c r="E136" s="786"/>
      <c r="F136" s="430">
        <v>29.6</v>
      </c>
      <c r="G136" s="429">
        <v>0.1</v>
      </c>
      <c r="H136" s="430">
        <v>0</v>
      </c>
      <c r="I136" s="444">
        <v>0.3</v>
      </c>
      <c r="J136" s="815">
        <v>1.96</v>
      </c>
      <c r="K136" s="804"/>
      <c r="L136" s="802"/>
      <c r="O136" s="682"/>
      <c r="P136" s="310"/>
      <c r="Q136" s="311"/>
      <c r="R136" s="311"/>
      <c r="S136" s="677"/>
      <c r="T136" s="680"/>
      <c r="U136" s="196"/>
      <c r="V136" s="196"/>
    </row>
    <row r="137" spans="1:22" ht="30" customHeight="1" x14ac:dyDescent="0.2">
      <c r="A137" s="757" t="s">
        <v>347</v>
      </c>
      <c r="B137" s="758"/>
      <c r="C137" s="707"/>
      <c r="D137" s="747"/>
      <c r="E137" s="786"/>
      <c r="F137" s="429">
        <v>33.4</v>
      </c>
      <c r="G137" s="429">
        <v>0.1</v>
      </c>
      <c r="H137" s="429">
        <v>-3.4</v>
      </c>
      <c r="I137" s="441">
        <v>1.7</v>
      </c>
      <c r="J137" s="814">
        <v>2</v>
      </c>
      <c r="K137" s="805">
        <v>43257</v>
      </c>
      <c r="L137" s="800" t="s">
        <v>404</v>
      </c>
      <c r="O137" s="196"/>
      <c r="P137" s="196"/>
      <c r="Q137" s="196"/>
      <c r="R137" s="196"/>
      <c r="T137" s="274"/>
      <c r="U137" s="196"/>
      <c r="V137" s="196"/>
    </row>
    <row r="138" spans="1:22" ht="30" customHeight="1" x14ac:dyDescent="0.2">
      <c r="A138" s="757"/>
      <c r="B138" s="758"/>
      <c r="C138" s="707"/>
      <c r="D138" s="747"/>
      <c r="E138" s="786"/>
      <c r="F138" s="429">
        <v>51.3</v>
      </c>
      <c r="G138" s="429">
        <v>0.1</v>
      </c>
      <c r="H138" s="429">
        <v>-1.3</v>
      </c>
      <c r="I138" s="442">
        <v>1.7</v>
      </c>
      <c r="J138" s="815">
        <v>1.96</v>
      </c>
      <c r="K138" s="804"/>
      <c r="L138" s="801"/>
      <c r="O138" s="196"/>
      <c r="P138" s="196"/>
      <c r="Q138" s="196"/>
      <c r="R138" s="196"/>
      <c r="T138" s="274"/>
      <c r="U138" s="196"/>
      <c r="V138" s="196"/>
    </row>
    <row r="139" spans="1:22" ht="30" customHeight="1" x14ac:dyDescent="0.2">
      <c r="A139" s="757"/>
      <c r="B139" s="758"/>
      <c r="C139" s="707"/>
      <c r="D139" s="747"/>
      <c r="E139" s="786"/>
      <c r="F139" s="429">
        <v>77.400000000000006</v>
      </c>
      <c r="G139" s="429">
        <v>0.1</v>
      </c>
      <c r="H139" s="429">
        <v>2.6</v>
      </c>
      <c r="I139" s="442">
        <v>1.7</v>
      </c>
      <c r="J139" s="815"/>
      <c r="K139" s="804"/>
      <c r="L139" s="802"/>
      <c r="O139" s="196"/>
      <c r="P139" s="196"/>
      <c r="Q139" s="196"/>
      <c r="R139" s="196"/>
      <c r="T139" s="274"/>
      <c r="U139" s="196"/>
      <c r="V139" s="196"/>
    </row>
    <row r="140" spans="1:22" ht="30" customHeight="1" x14ac:dyDescent="0.2">
      <c r="A140" s="757" t="s">
        <v>424</v>
      </c>
      <c r="B140" s="758"/>
      <c r="C140" s="707"/>
      <c r="D140" s="747"/>
      <c r="E140" s="786"/>
      <c r="F140" s="434">
        <v>397.9</v>
      </c>
      <c r="G140" s="434">
        <v>0.1</v>
      </c>
      <c r="H140" s="434">
        <v>-1.3</v>
      </c>
      <c r="I140" s="807">
        <v>6.4000000000000001E-2</v>
      </c>
      <c r="J140" s="810">
        <v>2</v>
      </c>
      <c r="K140" s="813">
        <v>42625</v>
      </c>
      <c r="L140" s="797" t="s">
        <v>362</v>
      </c>
      <c r="O140" s="196"/>
      <c r="P140" s="196"/>
      <c r="Q140" s="196"/>
      <c r="R140" s="196"/>
      <c r="T140" s="197"/>
    </row>
    <row r="141" spans="1:22" ht="30" customHeight="1" x14ac:dyDescent="0.2">
      <c r="A141" s="757"/>
      <c r="B141" s="758"/>
      <c r="C141" s="707"/>
      <c r="D141" s="747"/>
      <c r="E141" s="786"/>
      <c r="F141" s="434">
        <v>753.2</v>
      </c>
      <c r="G141" s="434">
        <v>0.1</v>
      </c>
      <c r="H141" s="446">
        <v>-0.64100000000000001</v>
      </c>
      <c r="I141" s="808">
        <v>6.4000000000000001E-2</v>
      </c>
      <c r="J141" s="811">
        <v>2</v>
      </c>
      <c r="K141" s="808">
        <v>42625</v>
      </c>
      <c r="L141" s="798" t="s">
        <v>312</v>
      </c>
      <c r="O141" s="196"/>
      <c r="P141" s="196"/>
      <c r="Q141" s="196"/>
      <c r="R141" s="196"/>
      <c r="T141" s="197"/>
    </row>
    <row r="142" spans="1:22" ht="30" customHeight="1" thickBot="1" x14ac:dyDescent="0.25">
      <c r="A142" s="763"/>
      <c r="B142" s="764"/>
      <c r="C142" s="708"/>
      <c r="D142" s="748"/>
      <c r="E142" s="787"/>
      <c r="F142" s="436">
        <v>1099.3</v>
      </c>
      <c r="G142" s="434">
        <v>0.1</v>
      </c>
      <c r="H142" s="436">
        <v>-0.06</v>
      </c>
      <c r="I142" s="809"/>
      <c r="J142" s="812"/>
      <c r="K142" s="809"/>
      <c r="L142" s="799"/>
      <c r="O142" s="196"/>
      <c r="P142" s="196"/>
      <c r="Q142" s="196"/>
      <c r="R142" s="196"/>
      <c r="T142" s="197"/>
    </row>
    <row r="143" spans="1:22" ht="30" customHeight="1" thickBot="1" x14ac:dyDescent="0.25">
      <c r="A143" s="339"/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O143" s="196"/>
      <c r="P143" s="196"/>
      <c r="Q143" s="196"/>
      <c r="R143" s="196"/>
      <c r="T143" s="197"/>
    </row>
    <row r="144" spans="1:22" ht="30" customHeight="1" thickBot="1" x14ac:dyDescent="0.25">
      <c r="A144" s="759" t="s">
        <v>346</v>
      </c>
      <c r="B144" s="746"/>
      <c r="C144" s="731" t="s">
        <v>363</v>
      </c>
      <c r="D144" s="746" t="s">
        <v>277</v>
      </c>
      <c r="E144" s="796" t="s">
        <v>305</v>
      </c>
      <c r="F144" s="428">
        <v>15.2</v>
      </c>
      <c r="G144" s="428">
        <v>0.1</v>
      </c>
      <c r="H144" s="431">
        <v>0</v>
      </c>
      <c r="I144" s="445">
        <v>0.2</v>
      </c>
      <c r="J144" s="806">
        <v>2</v>
      </c>
      <c r="K144" s="805">
        <v>43252</v>
      </c>
      <c r="L144" s="800" t="s">
        <v>405</v>
      </c>
      <c r="O144" s="321"/>
      <c r="P144" s="322" t="s">
        <v>343</v>
      </c>
      <c r="Q144" s="323" t="s">
        <v>344</v>
      </c>
      <c r="R144" s="323" t="s">
        <v>345</v>
      </c>
      <c r="S144" s="711" t="s">
        <v>415</v>
      </c>
      <c r="T144" s="712" t="s">
        <v>416</v>
      </c>
    </row>
    <row r="145" spans="1:20" ht="30" customHeight="1" x14ac:dyDescent="0.2">
      <c r="A145" s="760"/>
      <c r="B145" s="747"/>
      <c r="C145" s="707"/>
      <c r="D145" s="747"/>
      <c r="E145" s="786"/>
      <c r="F145" s="430">
        <v>24.8</v>
      </c>
      <c r="G145" s="429">
        <v>0.1</v>
      </c>
      <c r="H145" s="431">
        <v>0</v>
      </c>
      <c r="I145" s="445">
        <v>0.2</v>
      </c>
      <c r="J145" s="804"/>
      <c r="K145" s="804"/>
      <c r="L145" s="801"/>
      <c r="O145" s="681" t="s">
        <v>371</v>
      </c>
      <c r="P145" s="448">
        <f>I144</f>
        <v>0.2</v>
      </c>
      <c r="Q145" s="442">
        <f>I147</f>
        <v>1.7</v>
      </c>
      <c r="R145" s="382">
        <f>I150</f>
        <v>6.4000000000000001E-2</v>
      </c>
      <c r="S145" s="676"/>
      <c r="T145" s="679"/>
    </row>
    <row r="146" spans="1:20" ht="30" customHeight="1" thickBot="1" x14ac:dyDescent="0.25">
      <c r="A146" s="760"/>
      <c r="B146" s="747"/>
      <c r="C146" s="707"/>
      <c r="D146" s="747"/>
      <c r="E146" s="786"/>
      <c r="F146" s="430">
        <v>29.6</v>
      </c>
      <c r="G146" s="429">
        <v>0.1</v>
      </c>
      <c r="H146" s="430">
        <v>0</v>
      </c>
      <c r="I146" s="445">
        <v>0.3</v>
      </c>
      <c r="J146" s="804"/>
      <c r="K146" s="804"/>
      <c r="L146" s="802"/>
      <c r="O146" s="682"/>
      <c r="P146" s="310"/>
      <c r="Q146" s="311"/>
      <c r="R146" s="311"/>
      <c r="S146" s="677"/>
      <c r="T146" s="680"/>
    </row>
    <row r="147" spans="1:20" ht="30" customHeight="1" x14ac:dyDescent="0.2">
      <c r="A147" s="757" t="s">
        <v>347</v>
      </c>
      <c r="B147" s="758"/>
      <c r="C147" s="707"/>
      <c r="D147" s="747"/>
      <c r="E147" s="786"/>
      <c r="F147" s="429">
        <v>33.5</v>
      </c>
      <c r="G147" s="429">
        <v>0.1</v>
      </c>
      <c r="H147" s="429">
        <v>-3.5</v>
      </c>
      <c r="I147" s="441">
        <v>1.7</v>
      </c>
      <c r="J147" s="803">
        <v>2</v>
      </c>
      <c r="K147" s="805">
        <v>43257</v>
      </c>
      <c r="L147" s="800" t="s">
        <v>406</v>
      </c>
      <c r="O147" s="196"/>
      <c r="P147" s="196"/>
      <c r="Q147" s="196"/>
      <c r="R147" s="196"/>
      <c r="T147" s="197"/>
    </row>
    <row r="148" spans="1:20" ht="30" customHeight="1" x14ac:dyDescent="0.2">
      <c r="A148" s="757"/>
      <c r="B148" s="758"/>
      <c r="C148" s="707"/>
      <c r="D148" s="747"/>
      <c r="E148" s="786"/>
      <c r="F148" s="429">
        <v>51.2</v>
      </c>
      <c r="G148" s="429">
        <v>0.1</v>
      </c>
      <c r="H148" s="429">
        <v>-1.2</v>
      </c>
      <c r="I148" s="441">
        <v>1.7</v>
      </c>
      <c r="J148" s="804"/>
      <c r="K148" s="804"/>
      <c r="L148" s="801"/>
      <c r="O148" s="196"/>
      <c r="P148" s="196"/>
      <c r="Q148" s="196"/>
      <c r="R148" s="196"/>
      <c r="T148" s="197"/>
    </row>
    <row r="149" spans="1:20" ht="30" customHeight="1" x14ac:dyDescent="0.2">
      <c r="A149" s="757"/>
      <c r="B149" s="758"/>
      <c r="C149" s="707"/>
      <c r="D149" s="747"/>
      <c r="E149" s="786"/>
      <c r="F149" s="429">
        <v>77.099999999999994</v>
      </c>
      <c r="G149" s="429">
        <v>0.1</v>
      </c>
      <c r="H149" s="429">
        <v>2.9</v>
      </c>
      <c r="I149" s="441">
        <v>1.7</v>
      </c>
      <c r="J149" s="804"/>
      <c r="K149" s="804"/>
      <c r="L149" s="802"/>
      <c r="O149" s="196"/>
      <c r="P149" s="196"/>
      <c r="Q149" s="196"/>
      <c r="R149" s="196"/>
      <c r="T149" s="197"/>
    </row>
    <row r="150" spans="1:20" ht="30" customHeight="1" x14ac:dyDescent="0.2">
      <c r="A150" s="757" t="s">
        <v>424</v>
      </c>
      <c r="B150" s="758"/>
      <c r="C150" s="707"/>
      <c r="D150" s="747"/>
      <c r="E150" s="786"/>
      <c r="F150" s="438">
        <v>397.9</v>
      </c>
      <c r="G150" s="434">
        <v>0.1</v>
      </c>
      <c r="H150" s="434">
        <v>-1.34</v>
      </c>
      <c r="I150" s="807">
        <v>6.4000000000000001E-2</v>
      </c>
      <c r="J150" s="810">
        <v>1.96</v>
      </c>
      <c r="K150" s="813">
        <v>42625</v>
      </c>
      <c r="L150" s="797" t="s">
        <v>368</v>
      </c>
      <c r="O150" s="197"/>
      <c r="T150" s="197"/>
    </row>
    <row r="151" spans="1:20" ht="30" customHeight="1" x14ac:dyDescent="0.2">
      <c r="A151" s="757"/>
      <c r="B151" s="758"/>
      <c r="C151" s="707"/>
      <c r="D151" s="747"/>
      <c r="E151" s="786"/>
      <c r="F151" s="434">
        <v>753.2</v>
      </c>
      <c r="G151" s="434">
        <v>0.1</v>
      </c>
      <c r="H151" s="446">
        <v>-0.64100000000000001</v>
      </c>
      <c r="I151" s="808">
        <v>1.7</v>
      </c>
      <c r="J151" s="811">
        <v>1.96</v>
      </c>
      <c r="K151" s="808">
        <v>42586</v>
      </c>
      <c r="L151" s="798" t="s">
        <v>307</v>
      </c>
      <c r="O151" s="197"/>
      <c r="T151" s="197"/>
    </row>
    <row r="152" spans="1:20" ht="30" customHeight="1" thickBot="1" x14ac:dyDescent="0.25">
      <c r="A152" s="763"/>
      <c r="B152" s="764"/>
      <c r="C152" s="708"/>
      <c r="D152" s="748"/>
      <c r="E152" s="787"/>
      <c r="F152" s="436">
        <v>1099.2</v>
      </c>
      <c r="G152" s="436">
        <v>0.1</v>
      </c>
      <c r="H152" s="436">
        <v>-0.54</v>
      </c>
      <c r="I152" s="809">
        <v>6.4000000000000001E-2</v>
      </c>
      <c r="J152" s="812">
        <v>2</v>
      </c>
      <c r="K152" s="809">
        <v>42625</v>
      </c>
      <c r="L152" s="799" t="s">
        <v>308</v>
      </c>
      <c r="O152" s="197"/>
      <c r="T152" s="197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772" t="s">
        <v>425</v>
      </c>
      <c r="E155" s="773"/>
      <c r="F155" s="773"/>
      <c r="G155" s="773"/>
      <c r="H155" s="774"/>
      <c r="J155" s="778" t="s">
        <v>288</v>
      </c>
      <c r="K155" s="779"/>
      <c r="L155" s="779"/>
      <c r="M155" s="779"/>
    </row>
    <row r="156" spans="1:20" ht="30" customHeight="1" thickBot="1" x14ac:dyDescent="0.25">
      <c r="D156" s="775"/>
      <c r="E156" s="776"/>
      <c r="F156" s="776"/>
      <c r="G156" s="776"/>
      <c r="H156" s="777"/>
      <c r="J156" s="780" t="s">
        <v>211</v>
      </c>
      <c r="K156" s="781"/>
      <c r="L156" s="781"/>
      <c r="M156" s="782"/>
    </row>
    <row r="157" spans="1:20" ht="30" customHeight="1" x14ac:dyDescent="0.2">
      <c r="D157" s="340" t="s">
        <v>157</v>
      </c>
      <c r="E157" s="769" t="s">
        <v>426</v>
      </c>
      <c r="F157" s="770"/>
      <c r="G157" s="770"/>
      <c r="H157" s="771"/>
      <c r="J157" s="341">
        <v>5</v>
      </c>
      <c r="K157" s="342" t="s">
        <v>213</v>
      </c>
      <c r="L157" s="343">
        <v>8200</v>
      </c>
      <c r="M157" s="232"/>
    </row>
    <row r="158" spans="1:20" ht="30" customHeight="1" thickBot="1" x14ac:dyDescent="0.25">
      <c r="D158" s="344"/>
      <c r="E158" s="345"/>
      <c r="F158" s="346"/>
      <c r="G158" s="346"/>
      <c r="H158" s="347"/>
      <c r="J158" s="341"/>
      <c r="K158" s="348"/>
      <c r="L158" s="348"/>
      <c r="M158" s="349"/>
    </row>
    <row r="159" spans="1:20" ht="30" customHeight="1" x14ac:dyDescent="0.2">
      <c r="D159" s="350" t="s">
        <v>256</v>
      </c>
      <c r="E159" s="351" t="s">
        <v>257</v>
      </c>
      <c r="F159" s="352"/>
      <c r="G159" s="352" t="s">
        <v>437</v>
      </c>
      <c r="H159" s="353"/>
      <c r="J159" s="341"/>
      <c r="K159" s="348"/>
      <c r="L159" s="348"/>
      <c r="M159" s="349"/>
    </row>
    <row r="160" spans="1:20" ht="30" customHeight="1" x14ac:dyDescent="0.2">
      <c r="B160" s="196" t="e">
        <f>IF(#REF!&lt;=('DATOS '!I151),"")</f>
        <v>#REF!</v>
      </c>
      <c r="D160" s="350" t="s">
        <v>259</v>
      </c>
      <c r="E160" s="351" t="s">
        <v>260</v>
      </c>
      <c r="F160" s="352"/>
      <c r="G160" s="352" t="s">
        <v>436</v>
      </c>
      <c r="H160" s="353"/>
      <c r="J160" s="341"/>
      <c r="K160" s="354"/>
      <c r="L160" s="348"/>
      <c r="M160" s="349"/>
    </row>
    <row r="161" spans="4:13" ht="30" customHeight="1" x14ac:dyDescent="0.2">
      <c r="D161" s="350"/>
      <c r="E161" s="351"/>
      <c r="F161" s="352"/>
      <c r="G161" s="352"/>
      <c r="H161" s="353"/>
      <c r="J161" s="341"/>
      <c r="K161" s="355"/>
      <c r="L161" s="356"/>
      <c r="M161" s="357"/>
    </row>
    <row r="162" spans="4:13" ht="30" customHeight="1" thickBot="1" x14ac:dyDescent="0.25">
      <c r="D162" s="358" t="s">
        <v>265</v>
      </c>
      <c r="E162" s="359" t="s">
        <v>266</v>
      </c>
      <c r="F162" s="360"/>
      <c r="G162" s="361" t="s">
        <v>438</v>
      </c>
      <c r="H162" s="362"/>
      <c r="J162" s="341"/>
      <c r="K162" s="355"/>
      <c r="L162" s="355"/>
      <c r="M162" s="357"/>
    </row>
    <row r="163" spans="4:13" ht="30" customHeight="1" thickBot="1" x14ac:dyDescent="0.25">
      <c r="J163" s="363"/>
      <c r="K163" s="364"/>
      <c r="L163" s="365"/>
      <c r="M163" s="366"/>
    </row>
    <row r="164" spans="4:13" ht="30" customHeight="1" x14ac:dyDescent="0.2"/>
    <row r="165" spans="4:13" ht="30" customHeight="1" x14ac:dyDescent="0.2"/>
    <row r="199" spans="64:67" ht="35.1" customHeight="1" x14ac:dyDescent="0.25">
      <c r="BL199" s="367"/>
      <c r="BM199" s="367"/>
      <c r="BN199" s="367"/>
      <c r="BO199" s="367"/>
    </row>
    <row r="200" spans="64:67" ht="35.1" customHeight="1" x14ac:dyDescent="0.25">
      <c r="BL200" s="367"/>
      <c r="BM200" s="367"/>
      <c r="BN200" s="367"/>
      <c r="BO200" s="367"/>
    </row>
    <row r="201" spans="64:67" ht="35.1" customHeight="1" x14ac:dyDescent="0.25">
      <c r="BL201" s="367"/>
      <c r="BM201" s="367"/>
      <c r="BN201" s="367"/>
      <c r="BO201" s="367"/>
    </row>
    <row r="202" spans="64:67" ht="35.1" customHeight="1" x14ac:dyDescent="0.25">
      <c r="BL202" s="367"/>
      <c r="BM202" s="367"/>
      <c r="BN202" s="367"/>
      <c r="BO202" s="367"/>
    </row>
  </sheetData>
  <sheetProtection algorithmName="SHA-512" hashValue="fRtLzlF+dRO6LjJwQjFkRJGSkteysPT9XdoHfsh4lQKAmQp6rEx5yhKlfQM+Bkl/OBnrJ3oyKSSLmSC2OI2I5w==" saltValue="t2qab7DlMcwmWIbtcIWWsg==" spinCount="100000" sheet="1" objects="1" scenarios="1"/>
  <mergeCells count="159"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K99:K10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A119:B121"/>
    <mergeCell ref="S99:S100"/>
    <mergeCell ref="T99:T100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I108:I110"/>
    <mergeCell ref="J102:J104"/>
    <mergeCell ref="J105:J107"/>
    <mergeCell ref="J108:J110"/>
    <mergeCell ref="A105:B107"/>
    <mergeCell ref="K105:K107"/>
    <mergeCell ref="K108:K110"/>
    <mergeCell ref="A102:B104"/>
    <mergeCell ref="J99:J100"/>
    <mergeCell ref="S124:S126"/>
    <mergeCell ref="T124:T126"/>
    <mergeCell ref="A127:B129"/>
    <mergeCell ref="J127:J129"/>
    <mergeCell ref="K127:K129"/>
    <mergeCell ref="L127:L129"/>
    <mergeCell ref="A124:B126"/>
    <mergeCell ref="D124:D132"/>
    <mergeCell ref="J124:J126"/>
    <mergeCell ref="K124:K126"/>
    <mergeCell ref="A130:B132"/>
    <mergeCell ref="I130:I132"/>
    <mergeCell ref="J130:J132"/>
    <mergeCell ref="K130:K132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I140:I142"/>
    <mergeCell ref="J140:J142"/>
    <mergeCell ref="K140:K142"/>
    <mergeCell ref="L140:L142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I150:I152"/>
    <mergeCell ref="J150:J152"/>
    <mergeCell ref="K150:K152"/>
    <mergeCell ref="J155:M155"/>
    <mergeCell ref="J156:M156"/>
    <mergeCell ref="C113:C121"/>
    <mergeCell ref="C124:C132"/>
    <mergeCell ref="C134:C142"/>
    <mergeCell ref="C144:C152"/>
    <mergeCell ref="L150:L152"/>
    <mergeCell ref="D155:H156"/>
    <mergeCell ref="E157:H157"/>
    <mergeCell ref="L144:L146"/>
    <mergeCell ref="L124:L126"/>
    <mergeCell ref="L5:L6"/>
    <mergeCell ref="O114:O115"/>
    <mergeCell ref="O125:O126"/>
    <mergeCell ref="O135:O136"/>
    <mergeCell ref="O145:O146"/>
    <mergeCell ref="E113:E121"/>
    <mergeCell ref="I119:I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S144:S146"/>
    <mergeCell ref="T144:T14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showGridLines="0" topLeftCell="A73" zoomScale="80" zoomScaleNormal="80" zoomScaleSheetLayoutView="10" workbookViewId="0">
      <selection activeCell="C85" sqref="C85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18.285156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967"/>
      <c r="B1" s="968"/>
      <c r="C1" s="976" t="s">
        <v>385</v>
      </c>
      <c r="D1" s="977"/>
      <c r="E1" s="977"/>
      <c r="F1" s="977"/>
      <c r="G1" s="977"/>
      <c r="H1" s="977"/>
      <c r="I1" s="977"/>
      <c r="J1" s="977"/>
      <c r="K1" s="977"/>
      <c r="L1" s="978"/>
    </row>
    <row r="2" spans="1:20" ht="35.1" customHeight="1" x14ac:dyDescent="0.2">
      <c r="A2" s="969"/>
      <c r="B2" s="970"/>
      <c r="C2" s="979"/>
      <c r="D2" s="980"/>
      <c r="E2" s="980"/>
      <c r="F2" s="980"/>
      <c r="G2" s="980"/>
      <c r="H2" s="980"/>
      <c r="I2" s="980"/>
      <c r="J2" s="980"/>
      <c r="K2" s="980"/>
      <c r="L2" s="981"/>
    </row>
    <row r="3" spans="1:20" ht="35.1" customHeight="1" x14ac:dyDescent="0.2">
      <c r="A3" s="971"/>
      <c r="B3" s="972"/>
      <c r="C3" s="982"/>
      <c r="D3" s="983"/>
      <c r="E3" s="983"/>
      <c r="F3" s="983"/>
      <c r="G3" s="983"/>
      <c r="H3" s="983"/>
      <c r="I3" s="983"/>
      <c r="J3" s="983"/>
      <c r="K3" s="983"/>
      <c r="L3" s="984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147" t="s">
        <v>7</v>
      </c>
      <c r="C5" s="148" t="s">
        <v>158</v>
      </c>
      <c r="D5" s="148" t="s">
        <v>322</v>
      </c>
      <c r="E5" s="148" t="s">
        <v>159</v>
      </c>
      <c r="F5" s="148" t="s">
        <v>83</v>
      </c>
      <c r="G5" s="149" t="s">
        <v>8</v>
      </c>
      <c r="H5" s="149" t="s">
        <v>76</v>
      </c>
      <c r="I5" s="150" t="s">
        <v>161</v>
      </c>
      <c r="J5" s="965"/>
      <c r="L5" s="463"/>
    </row>
    <row r="6" spans="1:20" ht="35.1" customHeight="1" thickBot="1" x14ac:dyDescent="0.25">
      <c r="A6" s="8"/>
      <c r="B6" s="144" t="e">
        <f>VLOOKUP($J$5,'DATOS '!$C$7:$K$22,2,FALSE)</f>
        <v>#N/A</v>
      </c>
      <c r="C6" s="163" t="e">
        <f>VLOOKUP($J$5,'DATOS '!$C$7:$K$22,3,FALSE)</f>
        <v>#N/A</v>
      </c>
      <c r="D6" s="144" t="e">
        <f>VLOOKUP($J$5,'DATOS '!$C$7:$K$22,8,FALSE)</f>
        <v>#N/A</v>
      </c>
      <c r="E6" s="144" t="e">
        <f>VLOOKUP($J$5,'DATOS '!$C$7:$K$22,6,FALSE)</f>
        <v>#N/A</v>
      </c>
      <c r="F6" s="163" t="e">
        <f>VLOOKUP($J$5,'DATOS '!$C$7:$K$22,7,FALSE)</f>
        <v>#N/A</v>
      </c>
      <c r="G6" s="144" t="e">
        <f>VLOOKUP($J$5,'DATOS '!$C$7:$K$22,4,FALSE)</f>
        <v>#N/A</v>
      </c>
      <c r="H6" s="144" t="e">
        <f>VLOOKUP($J$5,'DATOS '!$C$7:$K$22,5,FALSE)</f>
        <v>#N/A</v>
      </c>
      <c r="I6" s="144" t="e">
        <f>VLOOKUP($J$5,'DATOS '!$C$7:$K$22,9,FALSE)</f>
        <v>#N/A</v>
      </c>
      <c r="J6" s="966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887" t="s">
        <v>10</v>
      </c>
      <c r="C8" s="888"/>
      <c r="D8" s="888"/>
      <c r="E8" s="889"/>
      <c r="F8" s="466"/>
      <c r="G8" s="14"/>
      <c r="H8" s="464"/>
      <c r="I8" s="14"/>
      <c r="J8" s="14"/>
      <c r="K8" s="14"/>
      <c r="L8" s="14"/>
    </row>
    <row r="9" spans="1:20" ht="35.1" customHeight="1" thickBot="1" x14ac:dyDescent="0.25">
      <c r="B9" s="985" t="s">
        <v>3</v>
      </c>
      <c r="C9" s="985"/>
      <c r="D9" s="159" t="e">
        <f>VLOOKUP($F$8,'DATOS '!$C$16:$L$22,2,FALSE)</f>
        <v>#N/A</v>
      </c>
      <c r="E9" s="160"/>
      <c r="F9" s="15"/>
      <c r="G9" s="887" t="s">
        <v>294</v>
      </c>
      <c r="H9" s="888"/>
      <c r="I9" s="888"/>
      <c r="J9" s="889"/>
      <c r="K9" s="14"/>
      <c r="L9" s="14"/>
    </row>
    <row r="10" spans="1:20" ht="35.1" customHeight="1" thickBot="1" x14ac:dyDescent="0.25">
      <c r="B10" s="943" t="s">
        <v>9</v>
      </c>
      <c r="C10" s="943"/>
      <c r="D10" s="159" t="e">
        <f>VLOOKUP($F$8,'DATOS '!$C$16:$L$22,3,FALSE)</f>
        <v>#N/A</v>
      </c>
      <c r="E10" s="160"/>
      <c r="F10" s="15"/>
      <c r="G10" s="975" t="s">
        <v>296</v>
      </c>
      <c r="H10" s="975"/>
      <c r="I10" s="974" t="e">
        <f>VLOOKUP($K$10,'DATOS '!$B$27:$Q$88,1,FALSE)</f>
        <v>#N/A</v>
      </c>
      <c r="J10" s="974"/>
      <c r="K10" s="467"/>
      <c r="L10" s="14"/>
      <c r="M10" s="16"/>
      <c r="N10" s="16"/>
      <c r="O10" s="16"/>
      <c r="P10" s="16"/>
    </row>
    <row r="11" spans="1:20" ht="35.1" customHeight="1" x14ac:dyDescent="0.2">
      <c r="B11" s="943" t="s">
        <v>1</v>
      </c>
      <c r="C11" s="943"/>
      <c r="D11" s="159" t="e">
        <f>VLOOKUP($F$8,'DATOS '!$C$16:$L$22,4,FALSE)</f>
        <v>#N/A</v>
      </c>
      <c r="E11" s="160"/>
      <c r="F11" s="15"/>
      <c r="G11" s="943" t="s">
        <v>3</v>
      </c>
      <c r="H11" s="943"/>
      <c r="I11" s="946" t="e">
        <f>VLOOKUP($K$10,'DATOS '!$B$27:$R$88,4,FALSE)</f>
        <v>#N/A</v>
      </c>
      <c r="J11" s="947"/>
      <c r="K11" s="14"/>
      <c r="L11" s="14"/>
      <c r="P11" s="16"/>
    </row>
    <row r="12" spans="1:20" s="16" customFormat="1" ht="35.1" customHeight="1" x14ac:dyDescent="0.2">
      <c r="B12" s="943" t="s">
        <v>335</v>
      </c>
      <c r="C12" s="951"/>
      <c r="D12" s="162" t="e">
        <f>VLOOKUP($F$8,'DATOS '!$C$16:$L$22,5,FALSE)</f>
        <v>#N/A</v>
      </c>
      <c r="E12" s="160"/>
      <c r="F12" s="17"/>
      <c r="G12" s="943" t="s">
        <v>0</v>
      </c>
      <c r="H12" s="943"/>
      <c r="I12" s="946" t="e">
        <f>VLOOKUP($K$10,'DATOS '!$B$27:$R$88,3,FALSE)</f>
        <v>#N/A</v>
      </c>
      <c r="J12" s="947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951" t="s">
        <v>48</v>
      </c>
      <c r="C13" s="952"/>
      <c r="D13" s="162" t="e">
        <f>VLOOKUP($F$8,'DATOS '!$C$16:$L$22,6,FALSE)</f>
        <v>#N/A</v>
      </c>
      <c r="E13" s="160"/>
      <c r="F13" s="17"/>
      <c r="G13" s="943" t="s">
        <v>2</v>
      </c>
      <c r="H13" s="943"/>
      <c r="I13" s="946" t="e">
        <f>VLOOKUP($K$10,'DATOS '!$B$27:$R$88,7,FALSE)</f>
        <v>#N/A</v>
      </c>
      <c r="J13" s="947"/>
      <c r="K13" s="10"/>
      <c r="L13" s="18"/>
    </row>
    <row r="14" spans="1:20" s="16" customFormat="1" ht="35.1" customHeight="1" x14ac:dyDescent="0.2">
      <c r="B14" s="944" t="s">
        <v>323</v>
      </c>
      <c r="C14" s="945"/>
      <c r="D14" s="161" t="e">
        <f>VLOOKUP($F$8,'DATOS '!$C$16:$L$22,7,FALSE)</f>
        <v>#N/A</v>
      </c>
      <c r="E14" s="160"/>
      <c r="F14" s="17"/>
      <c r="G14" s="943" t="s">
        <v>275</v>
      </c>
      <c r="H14" s="943"/>
      <c r="I14" s="986" t="e">
        <f>VLOOKUP($K$10,'DATOS '!$B$27:$R$88,8,FALSE)</f>
        <v>#N/A</v>
      </c>
      <c r="J14" s="987"/>
      <c r="K14" s="10"/>
      <c r="L14" s="18"/>
    </row>
    <row r="15" spans="1:20" s="16" customFormat="1" ht="35.1" customHeight="1" x14ac:dyDescent="0.2">
      <c r="B15" s="944" t="s">
        <v>324</v>
      </c>
      <c r="C15" s="945"/>
      <c r="D15" s="162" t="e">
        <f>VLOOKUP($F$8,'DATOS '!$C$16:$L$22,8,FALSE)</f>
        <v>#N/A</v>
      </c>
      <c r="E15" s="160"/>
      <c r="F15" s="17"/>
      <c r="G15" s="943" t="s">
        <v>116</v>
      </c>
      <c r="H15" s="943"/>
      <c r="I15" s="946" t="e">
        <f>VLOOKUP($K$10,'DATOS '!$B$27:$R$88,17,FALSE)</f>
        <v>#N/A</v>
      </c>
      <c r="J15" s="947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931" t="s">
        <v>11</v>
      </c>
      <c r="C17" s="932"/>
      <c r="D17" s="888"/>
      <c r="E17" s="888"/>
      <c r="F17" s="888"/>
      <c r="G17" s="888"/>
      <c r="H17" s="888"/>
      <c r="I17" s="888"/>
      <c r="J17" s="889"/>
      <c r="K17" s="10"/>
      <c r="L17" s="10"/>
    </row>
    <row r="18" spans="1:12" s="16" customFormat="1" ht="35.1" customHeight="1" thickBot="1" x14ac:dyDescent="0.3">
      <c r="B18" s="994" t="s">
        <v>100</v>
      </c>
      <c r="C18" s="994"/>
      <c r="D18" s="22"/>
      <c r="E18" s="23"/>
      <c r="F18" s="24"/>
      <c r="G18" s="949" t="s">
        <v>325</v>
      </c>
      <c r="H18" s="949"/>
      <c r="I18" s="949"/>
      <c r="J18" s="949"/>
      <c r="K18" s="10"/>
      <c r="L18" s="10"/>
    </row>
    <row r="19" spans="1:12" s="16" customFormat="1" ht="35.1" customHeight="1" thickBot="1" x14ac:dyDescent="0.3">
      <c r="B19" s="994"/>
      <c r="C19" s="994"/>
      <c r="D19" s="25"/>
      <c r="E19" s="468"/>
      <c r="F19" s="26"/>
      <c r="G19" s="948" t="s">
        <v>101</v>
      </c>
      <c r="H19" s="948" t="s">
        <v>139</v>
      </c>
      <c r="I19" s="948" t="s">
        <v>13</v>
      </c>
      <c r="J19" s="948" t="s">
        <v>326</v>
      </c>
      <c r="K19" s="10"/>
      <c r="L19" s="10"/>
    </row>
    <row r="20" spans="1:12" s="16" customFormat="1" ht="35.1" customHeight="1" thickBot="1" x14ac:dyDescent="0.3">
      <c r="B20" s="994"/>
      <c r="C20" s="994"/>
      <c r="D20" s="27"/>
      <c r="E20" s="28"/>
      <c r="F20" s="28"/>
      <c r="G20" s="948"/>
      <c r="H20" s="948"/>
      <c r="I20" s="948"/>
      <c r="J20" s="948"/>
      <c r="K20" s="10"/>
      <c r="L20" s="10"/>
    </row>
    <row r="21" spans="1:12" s="16" customFormat="1" ht="35.1" customHeight="1" thickBot="1" x14ac:dyDescent="0.3">
      <c r="B21" s="994" t="s">
        <v>12</v>
      </c>
      <c r="C21" s="994"/>
      <c r="D21" s="29"/>
      <c r="E21" s="29"/>
      <c r="F21" s="30"/>
      <c r="G21" s="146" t="e">
        <f>VLOOKUP($K$21,'DATOS '!$C$27:$R$88,8,FALSE)</f>
        <v>#N/A</v>
      </c>
      <c r="H21" s="146" t="e">
        <f>VLOOKUP($K$21,'DATOS '!$C$27:$R$88,12,FALSE)</f>
        <v>#N/A</v>
      </c>
      <c r="I21" s="146" t="e">
        <f>VLOOKUP($K$21,'DATOS '!$C$27:$R$88,13,FALSE)</f>
        <v>#N/A</v>
      </c>
      <c r="J21" s="146" t="e">
        <f>VLOOKUP($K$21,'DATOS '!$C$27:$R$88,5,FALSE)</f>
        <v>#N/A</v>
      </c>
      <c r="K21" s="470"/>
      <c r="L21" s="10"/>
    </row>
    <row r="22" spans="1:12" s="16" customFormat="1" ht="35.1" customHeight="1" thickBot="1" x14ac:dyDescent="0.3">
      <c r="B22" s="994"/>
      <c r="C22" s="995"/>
      <c r="D22" s="469"/>
      <c r="E22" s="469"/>
      <c r="F22" s="469"/>
      <c r="G22" s="146" t="e">
        <f>VLOOKUP($K$22,'DATOS '!$C$27:$R$88,8,FALSE)</f>
        <v>#N/A</v>
      </c>
      <c r="H22" s="146" t="e">
        <f>VLOOKUP($K$22,'DATOS '!$C$27:$R$88,12,FALSE)</f>
        <v>#N/A</v>
      </c>
      <c r="I22" s="146" t="e">
        <f>VLOOKUP($K$22,'DATOS '!$C$27:$R$88,13,FALSE)</f>
        <v>#N/A</v>
      </c>
      <c r="J22" s="146" t="e">
        <f>VLOOKUP($K$22,'DATOS '!$C$27:$R$88,5,FALSE)</f>
        <v>#N/A</v>
      </c>
      <c r="K22" s="470"/>
      <c r="L22" s="10"/>
    </row>
    <row r="23" spans="1:12" s="16" customFormat="1" ht="35.1" customHeight="1" thickBot="1" x14ac:dyDescent="0.3">
      <c r="A23" s="19"/>
      <c r="B23" s="994"/>
      <c r="C23" s="994"/>
      <c r="D23" s="31"/>
      <c r="E23" s="32"/>
      <c r="F23" s="31"/>
      <c r="G23" s="146" t="e">
        <f>VLOOKUP($K$23,'DATOS '!$C$27:$R$88,8,FALSE)</f>
        <v>#N/A</v>
      </c>
      <c r="H23" s="146" t="e">
        <f>VLOOKUP($K$23,'DATOS '!$C$27:$R$88,12,FALSE)</f>
        <v>#N/A</v>
      </c>
      <c r="I23" s="146" t="e">
        <f>VLOOKUP($K$23,'DATOS '!$C$27:$R$88,13,FALSE)</f>
        <v>#N/A</v>
      </c>
      <c r="J23" s="146" t="e">
        <f>VLOOKUP($K$23,'DATOS '!$C$27:$R$88,5,FALSE)</f>
        <v>#N/A</v>
      </c>
      <c r="K23" s="470"/>
      <c r="L23" s="10"/>
    </row>
    <row r="24" spans="1:12" s="16" customFormat="1" ht="35.1" customHeight="1" thickBot="1" x14ac:dyDescent="0.3">
      <c r="A24" s="19"/>
      <c r="C24" s="927" t="s">
        <v>384</v>
      </c>
      <c r="D24" s="928"/>
      <c r="E24" s="466"/>
      <c r="G24" s="146" t="e">
        <f>VLOOKUP($K$24,'DATOS '!$C$27:$R$88,8,FALSE)</f>
        <v>#N/A</v>
      </c>
      <c r="H24" s="146" t="e">
        <f>VLOOKUP($K$24,'DATOS '!$C$27:$R$88,12,FALSE)</f>
        <v>#N/A</v>
      </c>
      <c r="I24" s="146" t="e">
        <f>VLOOKUP($K$24,'DATOS '!$C$27:$R$88,13,FALSE)</f>
        <v>#N/A</v>
      </c>
      <c r="J24" s="146" t="e">
        <f>VLOOKUP($K$24,'DATOS '!$C$27:$R$88,5,FALSE)</f>
        <v>#N/A</v>
      </c>
      <c r="K24" s="470"/>
      <c r="L24" s="10"/>
    </row>
    <row r="25" spans="1:12" s="16" customFormat="1" ht="35.1" customHeight="1" x14ac:dyDescent="0.25">
      <c r="A25" s="33"/>
      <c r="B25" s="34" t="s">
        <v>293</v>
      </c>
      <c r="C25" s="34" t="s">
        <v>140</v>
      </c>
      <c r="D25" s="35" t="s">
        <v>59</v>
      </c>
      <c r="E25" s="36" t="s">
        <v>163</v>
      </c>
      <c r="G25" s="146" t="e">
        <f>G22+G23+G24+B26</f>
        <v>#N/A</v>
      </c>
      <c r="H25" s="146" t="e">
        <f t="shared" ref="H25:I25" si="0">H22+H23+H24+C26</f>
        <v>#N/A</v>
      </c>
      <c r="I25" s="146" t="e">
        <f t="shared" si="0"/>
        <v>#N/A</v>
      </c>
      <c r="J25" s="146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146" t="e">
        <f>VLOOKUP($E$24,'DATOS '!$C$27:$R$88,8,FALSE)</f>
        <v>#N/A</v>
      </c>
      <c r="C26" s="146" t="e">
        <f>VLOOKUP($E$24,'DATOS '!$C$27:$R$88,12,FALSE)</f>
        <v>#N/A</v>
      </c>
      <c r="D26" s="146" t="e">
        <f>VLOOKUP($E$24,'DATOS '!$C$27:$R$88,13,FALSE)</f>
        <v>#N/A</v>
      </c>
      <c r="E26" s="146" t="e">
        <f>VLOOKUP($E$24,'DATOS '!$C$27:$R$88,5,FALSE)</f>
        <v>#N/A</v>
      </c>
      <c r="F26" s="37" t="s">
        <v>114</v>
      </c>
      <c r="G26" s="38">
        <f>5-2</f>
        <v>3</v>
      </c>
      <c r="H26" s="10"/>
      <c r="I26" s="173"/>
    </row>
    <row r="27" spans="1:12" s="16" customFormat="1" ht="36" customHeight="1" thickBot="1" x14ac:dyDescent="0.3">
      <c r="A27" s="19"/>
      <c r="B27" s="988" t="s">
        <v>336</v>
      </c>
      <c r="C27" s="989"/>
      <c r="D27" s="989"/>
      <c r="E27" s="989"/>
      <c r="F27" s="989"/>
      <c r="G27" s="989"/>
      <c r="H27" s="989"/>
      <c r="I27" s="989"/>
      <c r="J27" s="989"/>
      <c r="K27" s="990"/>
    </row>
    <row r="28" spans="1:12" ht="49.5" customHeight="1" thickBot="1" x14ac:dyDescent="0.3">
      <c r="A28" s="19"/>
      <c r="B28" s="170" t="s">
        <v>3</v>
      </c>
      <c r="C28" s="146" t="e">
        <f>VLOOKUP($K$28,'DATOS '!$C$101:$T$153,2,FALSE)</f>
        <v>#N/A</v>
      </c>
      <c r="D28" s="170" t="s">
        <v>82</v>
      </c>
      <c r="E28" s="88" t="e">
        <f>VLOOKUP($K$28,'DATOS '!$C$101:$T$153,3,FALSE)</f>
        <v>#N/A</v>
      </c>
      <c r="F28" s="171" t="s">
        <v>2</v>
      </c>
      <c r="G28" s="991" t="e">
        <f>VLOOKUP($K$28,'DATOS '!$C$101:$T$153,18,FALSE)</f>
        <v>#N/A</v>
      </c>
      <c r="H28" s="992"/>
      <c r="I28" s="170" t="s">
        <v>337</v>
      </c>
      <c r="J28" s="461" t="e">
        <f>VLOOKUP($K$28,'DATOS '!$C$101:$T$153,17,FALSE)</f>
        <v>#N/A</v>
      </c>
      <c r="K28" s="471"/>
    </row>
    <row r="29" spans="1:12" ht="35.1" customHeight="1" thickBot="1" x14ac:dyDescent="0.3">
      <c r="A29" s="19"/>
      <c r="B29" s="993" t="s">
        <v>339</v>
      </c>
      <c r="C29" s="993"/>
      <c r="D29" s="172" t="s">
        <v>6</v>
      </c>
      <c r="E29" s="146" t="e">
        <f>VLOOKUP($K$29,'DATOS '!$O$101:$R$147,2,FALSE)</f>
        <v>#N/A</v>
      </c>
      <c r="F29" s="930" t="s">
        <v>4</v>
      </c>
      <c r="G29" s="930"/>
      <c r="H29" s="146" t="e">
        <f>VLOOKUP($K$29,'DATOS '!$O$101:$R$147,3,FALSE)</f>
        <v>#N/A</v>
      </c>
      <c r="I29" s="170" t="s">
        <v>5</v>
      </c>
      <c r="J29" s="462" t="e">
        <f>VLOOKUP($K$29,'DATOS '!$O$101:$R$147,4,FALSE)</f>
        <v>#N/A</v>
      </c>
      <c r="K29" s="471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40"/>
      <c r="B31" s="887" t="s">
        <v>60</v>
      </c>
      <c r="C31" s="888"/>
      <c r="D31" s="888"/>
      <c r="E31" s="888"/>
      <c r="F31" s="888"/>
      <c r="G31" s="888"/>
      <c r="H31" s="888"/>
      <c r="I31" s="889"/>
      <c r="K31" s="39" t="s">
        <v>117</v>
      </c>
      <c r="L31" s="10"/>
    </row>
    <row r="32" spans="1:12" ht="38.25" customHeight="1" thickBot="1" x14ac:dyDescent="0.25">
      <c r="B32" s="379" t="s">
        <v>380</v>
      </c>
      <c r="C32" s="474"/>
      <c r="D32" s="42" t="s">
        <v>6</v>
      </c>
      <c r="E32" s="473"/>
      <c r="F32" s="43" t="s">
        <v>4</v>
      </c>
      <c r="G32" s="473"/>
      <c r="H32" s="41" t="s">
        <v>5</v>
      </c>
      <c r="I32" s="472"/>
      <c r="K32" s="44" t="s">
        <v>53</v>
      </c>
      <c r="L32" s="45">
        <f>'DATOS '!M8</f>
        <v>2</v>
      </c>
    </row>
    <row r="33" spans="1:11" ht="35.1" customHeight="1" thickBot="1" x14ac:dyDescent="0.25">
      <c r="A33" s="6"/>
      <c r="B33" s="887" t="s">
        <v>14</v>
      </c>
      <c r="C33" s="888"/>
      <c r="D33" s="888"/>
      <c r="E33" s="888"/>
      <c r="F33" s="888"/>
      <c r="G33" s="889"/>
    </row>
    <row r="34" spans="1:11" ht="35.1" customHeight="1" x14ac:dyDescent="0.2">
      <c r="A34" s="6"/>
      <c r="C34" s="41" t="s">
        <v>55</v>
      </c>
      <c r="D34" s="41" t="s">
        <v>54</v>
      </c>
      <c r="E34" s="46">
        <f>E19</f>
        <v>0</v>
      </c>
      <c r="F34" s="41" t="s">
        <v>47</v>
      </c>
      <c r="G34" s="46">
        <f>E34*1000</f>
        <v>0</v>
      </c>
    </row>
    <row r="35" spans="1:11" ht="35.1" customHeight="1" x14ac:dyDescent="0.2">
      <c r="A35" s="6"/>
      <c r="B35" s="47" t="s">
        <v>15</v>
      </c>
      <c r="C35" s="48">
        <v>1</v>
      </c>
      <c r="D35" s="48">
        <v>2</v>
      </c>
      <c r="E35" s="48">
        <v>3</v>
      </c>
      <c r="F35" s="48">
        <v>4</v>
      </c>
      <c r="G35" s="48">
        <v>5</v>
      </c>
    </row>
    <row r="36" spans="1:11" ht="35.1" customHeight="1" x14ac:dyDescent="0.2">
      <c r="A36" s="6"/>
      <c r="B36" s="380" t="s">
        <v>327</v>
      </c>
      <c r="C36" s="475"/>
      <c r="D36" s="475"/>
      <c r="E36" s="475"/>
      <c r="F36" s="475"/>
      <c r="G36" s="475"/>
    </row>
    <row r="37" spans="1:11" ht="35.1" customHeight="1" x14ac:dyDescent="0.2">
      <c r="A37" s="6"/>
      <c r="B37" s="380" t="s">
        <v>16</v>
      </c>
      <c r="C37" s="49">
        <f>$C$36-C36</f>
        <v>0</v>
      </c>
      <c r="D37" s="49">
        <f t="shared" ref="D37:G37" si="1">$C$36-D36</f>
        <v>0</v>
      </c>
      <c r="E37" s="49">
        <f t="shared" si="1"/>
        <v>0</v>
      </c>
      <c r="F37" s="49">
        <f>$C$36-F36</f>
        <v>0</v>
      </c>
      <c r="G37" s="49">
        <f t="shared" si="1"/>
        <v>0</v>
      </c>
    </row>
    <row r="38" spans="1:11" ht="35.1" customHeight="1" x14ac:dyDescent="0.2">
      <c r="A38" s="6"/>
      <c r="B38" s="380" t="s">
        <v>46</v>
      </c>
      <c r="C38" s="49">
        <f>ABS(C37)</f>
        <v>0</v>
      </c>
      <c r="D38" s="49">
        <f t="shared" ref="D38:G38" si="2">ABS(D37)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</row>
    <row r="39" spans="1:11" ht="35.1" customHeight="1" x14ac:dyDescent="0.25">
      <c r="A39" s="6"/>
      <c r="B39" s="50" t="s">
        <v>47</v>
      </c>
      <c r="C39" s="51">
        <f>MAX(C38:G38)*1000</f>
        <v>0</v>
      </c>
      <c r="D39" s="52"/>
      <c r="E39" s="52"/>
      <c r="F39" s="52"/>
      <c r="G39" s="52"/>
    </row>
    <row r="40" spans="1:11" ht="9.9499999999999993" customHeight="1" thickBot="1" x14ac:dyDescent="0.25">
      <c r="A40" s="6"/>
    </row>
    <row r="41" spans="1:11" ht="35.1" customHeight="1" thickBot="1" x14ac:dyDescent="0.25">
      <c r="B41" s="887" t="s">
        <v>17</v>
      </c>
      <c r="C41" s="888"/>
      <c r="D41" s="888"/>
      <c r="E41" s="888"/>
      <c r="F41" s="888"/>
      <c r="G41" s="888"/>
      <c r="H41" s="888"/>
      <c r="I41" s="888"/>
      <c r="J41" s="888"/>
      <c r="K41" s="889"/>
    </row>
    <row r="42" spans="1:11" s="53" customFormat="1" ht="35.1" customHeight="1" x14ac:dyDescent="0.2">
      <c r="B42" s="973" t="s">
        <v>20</v>
      </c>
      <c r="C42" s="973"/>
      <c r="D42" s="973"/>
      <c r="E42" s="973"/>
      <c r="F42" s="973"/>
      <c r="G42" s="973"/>
      <c r="H42" s="973"/>
      <c r="I42" s="973"/>
      <c r="J42" s="973"/>
      <c r="K42" s="465" t="s">
        <v>50</v>
      </c>
    </row>
    <row r="43" spans="1:11" ht="35.1" customHeight="1" x14ac:dyDescent="0.2">
      <c r="A43" s="34" t="s">
        <v>18</v>
      </c>
      <c r="B43" s="54">
        <v>1</v>
      </c>
      <c r="C43" s="54">
        <v>2</v>
      </c>
      <c r="D43" s="54">
        <v>3</v>
      </c>
      <c r="E43" s="54">
        <v>4</v>
      </c>
      <c r="F43" s="54">
        <v>5</v>
      </c>
      <c r="G43" s="54">
        <v>6</v>
      </c>
      <c r="H43" s="54">
        <v>7</v>
      </c>
      <c r="I43" s="54">
        <v>8</v>
      </c>
      <c r="J43" s="54">
        <v>9</v>
      </c>
      <c r="K43" s="55">
        <v>10</v>
      </c>
    </row>
    <row r="44" spans="1:11" ht="35.1" customHeight="1" x14ac:dyDescent="0.2">
      <c r="A44" s="56">
        <f>D22</f>
        <v>0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</row>
    <row r="45" spans="1:11" ht="35.1" customHeight="1" x14ac:dyDescent="0.2">
      <c r="A45" s="56">
        <f>E22</f>
        <v>0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</row>
    <row r="46" spans="1:11" ht="35.1" customHeight="1" x14ac:dyDescent="0.2">
      <c r="A46" s="56">
        <f>F22</f>
        <v>0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</row>
    <row r="47" spans="1:11" ht="35.1" customHeight="1" x14ac:dyDescent="0.2">
      <c r="B47" s="34" t="s">
        <v>18</v>
      </c>
      <c r="C47" s="34" t="s">
        <v>19</v>
      </c>
      <c r="D47" s="57" t="s">
        <v>63</v>
      </c>
      <c r="E47" s="57" t="s">
        <v>62</v>
      </c>
      <c r="F47" s="57" t="s">
        <v>328</v>
      </c>
      <c r="H47" s="1"/>
      <c r="J47" s="1"/>
      <c r="K47" s="58"/>
    </row>
    <row r="48" spans="1:11" ht="35.1" customHeight="1" x14ac:dyDescent="0.2">
      <c r="B48" s="164">
        <f>A44</f>
        <v>0</v>
      </c>
      <c r="C48" s="70" t="e">
        <f>AVERAGE(B44:K44)</f>
        <v>#DIV/0!</v>
      </c>
      <c r="D48" s="70" t="e">
        <f>_xlfn.STDEV.S(B44:K44)</f>
        <v>#DIV/0!</v>
      </c>
      <c r="E48" s="70" t="e">
        <f>D48*1000</f>
        <v>#DIV/0!</v>
      </c>
      <c r="F48" s="70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164">
        <f>A45</f>
        <v>0</v>
      </c>
      <c r="C49" s="70" t="e">
        <f t="shared" ref="C49:C50" si="3">AVERAGE(B45:K45)</f>
        <v>#DIV/0!</v>
      </c>
      <c r="D49" s="70" t="e">
        <f t="shared" ref="D49:D50" si="4">_xlfn.STDEV.S(B45:K45)</f>
        <v>#DIV/0!</v>
      </c>
      <c r="E49" s="70" t="e">
        <f t="shared" ref="E49:E50" si="5">D49*1000</f>
        <v>#DIV/0!</v>
      </c>
      <c r="H49" s="1"/>
      <c r="I49" s="1"/>
      <c r="J49" s="7"/>
      <c r="K49" s="1"/>
    </row>
    <row r="50" spans="1:13" ht="35.1" customHeight="1" x14ac:dyDescent="0.2">
      <c r="A50" s="6"/>
      <c r="B50" s="164">
        <f>A46</f>
        <v>0</v>
      </c>
      <c r="C50" s="70" t="e">
        <f t="shared" si="3"/>
        <v>#DIV/0!</v>
      </c>
      <c r="D50" s="70" t="e">
        <f t="shared" si="4"/>
        <v>#DIV/0!</v>
      </c>
      <c r="E50" s="70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887" t="s">
        <v>23</v>
      </c>
      <c r="C52" s="888"/>
      <c r="D52" s="888"/>
      <c r="E52" s="888"/>
      <c r="F52" s="888"/>
      <c r="G52" s="888"/>
      <c r="H52" s="888"/>
      <c r="I52" s="888"/>
      <c r="J52" s="888"/>
      <c r="K52" s="888"/>
      <c r="L52" s="889"/>
    </row>
    <row r="53" spans="1:13" ht="35.1" customHeight="1" thickBot="1" x14ac:dyDescent="0.25">
      <c r="B53" s="887" t="s">
        <v>108</v>
      </c>
      <c r="C53" s="888"/>
      <c r="D53" s="888"/>
      <c r="E53" s="889"/>
      <c r="F53" s="61"/>
      <c r="G53" s="887" t="s">
        <v>464</v>
      </c>
      <c r="H53" s="888"/>
      <c r="I53" s="888"/>
      <c r="J53" s="888"/>
      <c r="K53" s="888"/>
      <c r="L53" s="889"/>
    </row>
    <row r="54" spans="1:13" ht="35.1" customHeight="1" x14ac:dyDescent="0.2">
      <c r="A54" s="6"/>
      <c r="B54" s="36" t="s">
        <v>18</v>
      </c>
      <c r="C54" s="62" t="s">
        <v>154</v>
      </c>
      <c r="D54" s="63" t="s">
        <v>35</v>
      </c>
      <c r="E54" s="63" t="s">
        <v>35</v>
      </c>
      <c r="F54" s="61"/>
      <c r="G54" s="62" t="s">
        <v>154</v>
      </c>
      <c r="H54" s="62" t="s">
        <v>329</v>
      </c>
      <c r="I54" s="62"/>
      <c r="J54" s="62"/>
      <c r="K54" s="63" t="s">
        <v>35</v>
      </c>
      <c r="L54" s="63" t="s">
        <v>35</v>
      </c>
    </row>
    <row r="55" spans="1:13" ht="35.1" customHeight="1" x14ac:dyDescent="0.2">
      <c r="A55" s="6"/>
      <c r="B55" s="64" t="e">
        <f>H21</f>
        <v>#N/A</v>
      </c>
      <c r="C55" s="475"/>
      <c r="D55" s="65" t="e">
        <f>C55-B55</f>
        <v>#N/A</v>
      </c>
      <c r="E55" s="60" t="e">
        <f>D55*1000</f>
        <v>#N/A</v>
      </c>
      <c r="F55" s="61"/>
      <c r="G55" s="475"/>
      <c r="H55" s="475"/>
      <c r="I55" s="66" t="e">
        <f>AVERAGE(G55:H55)</f>
        <v>#DIV/0!</v>
      </c>
      <c r="J55" s="59" t="e">
        <f>I55*1000</f>
        <v>#DIV/0!</v>
      </c>
      <c r="K55" s="65" t="e">
        <f>I55-B55</f>
        <v>#DIV/0!</v>
      </c>
      <c r="L55" s="155" t="e">
        <f>K55*1000</f>
        <v>#DIV/0!</v>
      </c>
    </row>
    <row r="56" spans="1:13" ht="35.1" customHeight="1" x14ac:dyDescent="0.2">
      <c r="A56" s="6"/>
      <c r="B56" s="67" t="e">
        <f>H22</f>
        <v>#N/A</v>
      </c>
      <c r="C56" s="475"/>
      <c r="D56" s="65" t="e">
        <f t="shared" ref="D56:D59" si="6">C56-B56</f>
        <v>#N/A</v>
      </c>
      <c r="E56" s="60" t="e">
        <f t="shared" ref="E56:E59" si="7">D56*1000</f>
        <v>#N/A</v>
      </c>
      <c r="F56" s="61"/>
      <c r="G56" s="475"/>
      <c r="H56" s="475"/>
      <c r="I56" s="66" t="e">
        <f>AVERAGE(G56:H56)</f>
        <v>#DIV/0!</v>
      </c>
      <c r="J56" s="59" t="e">
        <f>I56*1000</f>
        <v>#DIV/0!</v>
      </c>
      <c r="K56" s="65" t="e">
        <f>I56-B56</f>
        <v>#DIV/0!</v>
      </c>
      <c r="L56" s="155" t="e">
        <f t="shared" ref="L56:L59" si="8">K56*1000</f>
        <v>#DIV/0!</v>
      </c>
    </row>
    <row r="57" spans="1:13" ht="35.1" customHeight="1" x14ac:dyDescent="0.2">
      <c r="A57" s="6"/>
      <c r="B57" s="67" t="e">
        <f>H23</f>
        <v>#N/A</v>
      </c>
      <c r="C57" s="475"/>
      <c r="D57" s="65" t="e">
        <f t="shared" si="6"/>
        <v>#N/A</v>
      </c>
      <c r="E57" s="60" t="e">
        <f t="shared" si="7"/>
        <v>#N/A</v>
      </c>
      <c r="F57" s="61"/>
      <c r="G57" s="475"/>
      <c r="H57" s="475"/>
      <c r="I57" s="66" t="e">
        <f>AVERAGE(G57:H57)</f>
        <v>#DIV/0!</v>
      </c>
      <c r="J57" s="59" t="e">
        <f t="shared" ref="J57:J59" si="9">I57*1000</f>
        <v>#DIV/0!</v>
      </c>
      <c r="K57" s="65" t="e">
        <f>I57-B57</f>
        <v>#DIV/0!</v>
      </c>
      <c r="L57" s="156" t="e">
        <f t="shared" si="8"/>
        <v>#DIV/0!</v>
      </c>
    </row>
    <row r="58" spans="1:13" ht="35.1" customHeight="1" x14ac:dyDescent="0.2">
      <c r="A58" s="6"/>
      <c r="B58" s="67" t="e">
        <f>H24</f>
        <v>#N/A</v>
      </c>
      <c r="C58" s="475"/>
      <c r="D58" s="65" t="e">
        <f t="shared" si="6"/>
        <v>#N/A</v>
      </c>
      <c r="E58" s="60" t="e">
        <f t="shared" si="7"/>
        <v>#N/A</v>
      </c>
      <c r="F58" s="61"/>
      <c r="G58" s="475"/>
      <c r="H58" s="475"/>
      <c r="I58" s="66" t="e">
        <f>AVERAGE(G58:H58)</f>
        <v>#DIV/0!</v>
      </c>
      <c r="J58" s="59" t="e">
        <f t="shared" si="9"/>
        <v>#DIV/0!</v>
      </c>
      <c r="K58" s="65" t="e">
        <f>I58-B58</f>
        <v>#DIV/0!</v>
      </c>
      <c r="L58" s="156" t="e">
        <f t="shared" si="8"/>
        <v>#DIV/0!</v>
      </c>
    </row>
    <row r="59" spans="1:13" ht="35.1" customHeight="1" x14ac:dyDescent="0.2">
      <c r="A59" s="6"/>
      <c r="B59" s="67" t="e">
        <f>H25</f>
        <v>#N/A</v>
      </c>
      <c r="C59" s="475"/>
      <c r="D59" s="65" t="e">
        <f t="shared" si="6"/>
        <v>#N/A</v>
      </c>
      <c r="E59" s="60" t="e">
        <f t="shared" si="7"/>
        <v>#N/A</v>
      </c>
      <c r="F59" s="68"/>
      <c r="G59" s="475"/>
      <c r="H59" s="475"/>
      <c r="I59" s="66" t="e">
        <f t="shared" ref="I59" si="10">AVERAGE(G59:H59)</f>
        <v>#DIV/0!</v>
      </c>
      <c r="J59" s="59" t="e">
        <f t="shared" si="9"/>
        <v>#DIV/0!</v>
      </c>
      <c r="K59" s="65" t="e">
        <f>I59-B59</f>
        <v>#DIV/0!</v>
      </c>
      <c r="L59" s="156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69"/>
      <c r="B61" s="931" t="s">
        <v>61</v>
      </c>
      <c r="C61" s="932"/>
      <c r="D61" s="932"/>
      <c r="E61" s="932"/>
      <c r="F61" s="932"/>
      <c r="G61" s="932"/>
      <c r="H61" s="932"/>
      <c r="I61" s="933"/>
    </row>
    <row r="62" spans="1:13" ht="35.1" customHeight="1" thickBot="1" x14ac:dyDescent="0.25">
      <c r="A62" s="69"/>
      <c r="B62" s="177" t="s">
        <v>379</v>
      </c>
      <c r="C62" s="476"/>
      <c r="D62" s="178" t="s">
        <v>6</v>
      </c>
      <c r="E62" s="477"/>
      <c r="F62" s="178" t="s">
        <v>4</v>
      </c>
      <c r="G62" s="478"/>
      <c r="H62" s="179" t="s">
        <v>5</v>
      </c>
      <c r="I62" s="479"/>
      <c r="J62" s="1"/>
      <c r="K62" s="960"/>
      <c r="L62" s="961"/>
    </row>
    <row r="63" spans="1:13" ht="35.1" customHeight="1" thickBot="1" x14ac:dyDescent="0.25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</row>
    <row r="64" spans="1:13" ht="35.1" customHeight="1" thickBot="1" x14ac:dyDescent="0.25">
      <c r="A64" s="176"/>
      <c r="B64" s="917" t="s">
        <v>374</v>
      </c>
      <c r="C64" s="918"/>
      <c r="D64" s="178" t="s">
        <v>6</v>
      </c>
      <c r="E64" s="184">
        <f>(E32+E62)/2</f>
        <v>0</v>
      </c>
      <c r="F64" s="178" t="s">
        <v>4</v>
      </c>
      <c r="G64" s="184">
        <f>(G32+G62)/2</f>
        <v>0</v>
      </c>
      <c r="H64" s="179" t="s">
        <v>5</v>
      </c>
      <c r="I64" s="184">
        <f>(I32+I62)/2</f>
        <v>0</v>
      </c>
      <c r="J64" s="372"/>
      <c r="K64" s="893" t="s">
        <v>386</v>
      </c>
      <c r="L64" s="895"/>
    </row>
    <row r="65" spans="1:15" ht="38.25" customHeight="1" thickBot="1" x14ac:dyDescent="0.25">
      <c r="A65" s="176"/>
      <c r="B65" s="919" t="s">
        <v>375</v>
      </c>
      <c r="C65" s="920"/>
      <c r="D65" s="185" t="s">
        <v>6</v>
      </c>
      <c r="E65" s="488">
        <f>E64+(0.0157*E64-0.3912)</f>
        <v>-0.39119999999999999</v>
      </c>
      <c r="F65" s="185" t="s">
        <v>4</v>
      </c>
      <c r="G65" s="489">
        <f>G64+(0.1219*G64-6.5754)</f>
        <v>-6.5754000000000001</v>
      </c>
      <c r="H65" s="186" t="s">
        <v>5</v>
      </c>
      <c r="I65" s="488">
        <f>I64+(0.001*I64-1.3938)</f>
        <v>-1.3937999999999999</v>
      </c>
      <c r="K65" s="180" t="e">
        <f>VLOOKUP($K$62,'DATOS '!$D$158:$H$162,2,FALSE)</f>
        <v>#N/A</v>
      </c>
      <c r="L65" s="145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887" t="s">
        <v>34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9"/>
    </row>
    <row r="68" spans="1:15" s="53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914" t="s">
        <v>28</v>
      </c>
      <c r="G69" s="915"/>
      <c r="H69" s="915"/>
      <c r="I69" s="915"/>
      <c r="J69" s="916"/>
      <c r="K69" s="1"/>
    </row>
    <row r="70" spans="1:15" s="7" customFormat="1" ht="35.1" customHeight="1" x14ac:dyDescent="0.2">
      <c r="D70" s="71"/>
      <c r="F70" s="381" t="e">
        <f>G21</f>
        <v>#N/A</v>
      </c>
      <c r="G70" s="381" t="e">
        <f>G22</f>
        <v>#N/A</v>
      </c>
      <c r="H70" s="381" t="e">
        <f>G23</f>
        <v>#N/A</v>
      </c>
      <c r="I70" s="381" t="e">
        <f>G24</f>
        <v>#N/A</v>
      </c>
      <c r="J70" s="381" t="e">
        <f>G25</f>
        <v>#N/A</v>
      </c>
      <c r="K70" s="1"/>
      <c r="L70" s="1"/>
      <c r="M70" s="1"/>
      <c r="N70" s="1"/>
      <c r="O70" s="1"/>
    </row>
    <row r="71" spans="1:15" s="53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893" t="s">
        <v>33</v>
      </c>
      <c r="C72" s="894"/>
      <c r="D72" s="895"/>
      <c r="E72" s="53"/>
      <c r="F72" s="887" t="s">
        <v>49</v>
      </c>
      <c r="G72" s="888"/>
      <c r="H72" s="888"/>
      <c r="I72" s="888"/>
      <c r="J72" s="888"/>
      <c r="K72" s="72" t="s">
        <v>27</v>
      </c>
      <c r="L72" s="73" t="s">
        <v>109</v>
      </c>
    </row>
    <row r="73" spans="1:15" ht="35.1" customHeight="1" x14ac:dyDescent="0.2">
      <c r="A73" s="921" t="s">
        <v>21</v>
      </c>
      <c r="B73" s="922"/>
      <c r="C73" s="922"/>
      <c r="D73" s="922"/>
      <c r="E73" s="923"/>
      <c r="F73" s="165" t="e">
        <f>(J55*$C$39)/(2*$G$34*SQRT(3))</f>
        <v>#DIV/0!</v>
      </c>
      <c r="G73" s="165" t="e">
        <f>(J56*$C$39)/(2*$G$34*SQRT(3))</f>
        <v>#DIV/0!</v>
      </c>
      <c r="H73" s="165" t="e">
        <f>(J57*$C$39)/(2*$G$34*SQRT(3))</f>
        <v>#DIV/0!</v>
      </c>
      <c r="I73" s="165" t="e">
        <f>(J58*$C$39)/(2*$G$34*SQRT(3))</f>
        <v>#DIV/0!</v>
      </c>
      <c r="J73" s="165" t="e">
        <f>(J59*$C$39)/(2*$G$34*SQRT(3))</f>
        <v>#DIV/0!</v>
      </c>
      <c r="K73" s="75" t="s">
        <v>51</v>
      </c>
      <c r="L73" s="459">
        <v>100</v>
      </c>
    </row>
    <row r="74" spans="1:15" ht="35.1" customHeight="1" x14ac:dyDescent="0.2">
      <c r="A74" s="921" t="s">
        <v>22</v>
      </c>
      <c r="B74" s="924"/>
      <c r="C74" s="925"/>
      <c r="D74" s="925"/>
      <c r="E74" s="926"/>
      <c r="F74" s="74" t="e">
        <f>$F$48/SQRT($K$43)</f>
        <v>#DIV/0!</v>
      </c>
      <c r="G74" s="74" t="e">
        <f t="shared" ref="G74:J74" si="11">$F$48/SQRT($K$43)</f>
        <v>#DIV/0!</v>
      </c>
      <c r="H74" s="74" t="e">
        <f t="shared" si="11"/>
        <v>#DIV/0!</v>
      </c>
      <c r="I74" s="74" t="e">
        <f t="shared" si="11"/>
        <v>#DIV/0!</v>
      </c>
      <c r="J74" s="74" t="e">
        <f t="shared" si="11"/>
        <v>#DIV/0!</v>
      </c>
      <c r="K74" s="76" t="s">
        <v>52</v>
      </c>
      <c r="L74" s="460">
        <f>K43-1</f>
        <v>9</v>
      </c>
    </row>
    <row r="75" spans="1:15" ht="35.1" customHeight="1" x14ac:dyDescent="0.2">
      <c r="A75" s="921" t="s">
        <v>24</v>
      </c>
      <c r="B75" s="924"/>
      <c r="C75" s="907"/>
      <c r="D75" s="907"/>
      <c r="E75" s="907"/>
      <c r="F75" s="74" t="e">
        <f>($D$14*1000)/SQRT(6)</f>
        <v>#N/A</v>
      </c>
      <c r="G75" s="74" t="e">
        <f>($D$14*1000)/SQRT(6)</f>
        <v>#N/A</v>
      </c>
      <c r="H75" s="74" t="e">
        <f>($D$14*1000)/SQRT(6)</f>
        <v>#N/A</v>
      </c>
      <c r="I75" s="74" t="e">
        <f t="shared" ref="I75:J75" si="12">($D$14*1000)/SQRT(6)</f>
        <v>#N/A</v>
      </c>
      <c r="J75" s="74" t="e">
        <f t="shared" si="12"/>
        <v>#N/A</v>
      </c>
      <c r="K75" s="76" t="s">
        <v>51</v>
      </c>
      <c r="L75" s="460">
        <v>100</v>
      </c>
    </row>
    <row r="76" spans="1:15" ht="35.1" customHeight="1" thickBot="1" x14ac:dyDescent="0.25">
      <c r="A76" s="61"/>
      <c r="B76" s="61"/>
      <c r="C76" s="911"/>
      <c r="D76" s="912"/>
      <c r="E76" s="913"/>
      <c r="F76" s="77" t="e">
        <f>SQRT((F73)^2+(F74)^2+(F75)^2)</f>
        <v>#DIV/0!</v>
      </c>
      <c r="G76" s="77" t="e">
        <f t="shared" ref="G76:J76" si="13">SQRT((G73)^2+(G74)^2+(G75)^2)</f>
        <v>#DIV/0!</v>
      </c>
      <c r="H76" s="77" t="e">
        <f t="shared" si="13"/>
        <v>#DIV/0!</v>
      </c>
      <c r="I76" s="77" t="e">
        <f t="shared" si="13"/>
        <v>#DIV/0!</v>
      </c>
      <c r="J76" s="77" t="e">
        <f t="shared" si="13"/>
        <v>#DIV/0!</v>
      </c>
      <c r="K76" s="76" t="s">
        <v>52</v>
      </c>
      <c r="L76" s="7"/>
    </row>
    <row r="77" spans="1:15" ht="35.1" customHeight="1" thickBot="1" x14ac:dyDescent="0.25">
      <c r="A77" s="61"/>
      <c r="B77" s="61"/>
      <c r="C77" s="61"/>
      <c r="D77" s="61"/>
      <c r="F77" s="887" t="s">
        <v>431</v>
      </c>
      <c r="G77" s="888"/>
      <c r="H77" s="888"/>
      <c r="I77" s="888"/>
      <c r="J77" s="889"/>
      <c r="K77" s="1"/>
    </row>
    <row r="78" spans="1:15" ht="35.1" customHeight="1" x14ac:dyDescent="0.2">
      <c r="A78" s="921" t="s">
        <v>25</v>
      </c>
      <c r="B78" s="924"/>
      <c r="C78" s="909"/>
      <c r="D78" s="909"/>
      <c r="E78" s="910"/>
      <c r="F78" s="78" t="e">
        <f>I21/L32</f>
        <v>#N/A</v>
      </c>
      <c r="G78" s="78" t="e">
        <f>I22/L32</f>
        <v>#N/A</v>
      </c>
      <c r="H78" s="78" t="e">
        <f>I23/L32</f>
        <v>#N/A</v>
      </c>
      <c r="I78" s="78" t="e">
        <f>I24/L32</f>
        <v>#N/A</v>
      </c>
      <c r="J78" s="78" t="e">
        <f>I25/L32</f>
        <v>#N/A</v>
      </c>
      <c r="K78" s="59" t="s">
        <v>52</v>
      </c>
      <c r="L78" s="182">
        <v>100</v>
      </c>
    </row>
    <row r="79" spans="1:15" ht="35.1" customHeight="1" x14ac:dyDescent="0.2">
      <c r="A79" s="957" t="s">
        <v>26</v>
      </c>
      <c r="B79" s="957"/>
      <c r="C79" s="909"/>
      <c r="D79" s="909"/>
      <c r="E79" s="910"/>
      <c r="F79" s="79" t="e">
        <f>(3*I21)/(4*SQRT(3))</f>
        <v>#N/A</v>
      </c>
      <c r="G79" s="79" t="e">
        <f>(3*I22)/(4*SQRT(3))</f>
        <v>#N/A</v>
      </c>
      <c r="H79" s="79" t="e">
        <f>(3*I23)/(4*SQRT(3))</f>
        <v>#N/A</v>
      </c>
      <c r="I79" s="79" t="e">
        <f>(3*I24)/(4*SQRT(3))</f>
        <v>#N/A</v>
      </c>
      <c r="J79" s="79" t="e">
        <f>(3*I25)/(4*SQRT(3))</f>
        <v>#N/A</v>
      </c>
      <c r="K79" s="59" t="s">
        <v>51</v>
      </c>
      <c r="L79" s="181">
        <v>100</v>
      </c>
    </row>
    <row r="80" spans="1:15" ht="35.1" customHeight="1" x14ac:dyDescent="0.2">
      <c r="A80" s="921" t="s">
        <v>32</v>
      </c>
      <c r="B80" s="924"/>
      <c r="C80" s="909"/>
      <c r="D80" s="909"/>
      <c r="E80" s="910"/>
      <c r="F80" s="79" t="e">
        <f>I21/SQRT(3)</f>
        <v>#N/A</v>
      </c>
      <c r="G80" s="79" t="e">
        <f>I22/SQRT(3)</f>
        <v>#N/A</v>
      </c>
      <c r="H80" s="79" t="e">
        <f>I23/SQRT(3)</f>
        <v>#N/A</v>
      </c>
      <c r="I80" s="79" t="e">
        <f>I24/SQRT(3)</f>
        <v>#N/A</v>
      </c>
      <c r="J80" s="79" t="e">
        <f>I25/SQRT(3)</f>
        <v>#N/A</v>
      </c>
      <c r="K80" s="59" t="s">
        <v>51</v>
      </c>
      <c r="L80" s="182">
        <v>100</v>
      </c>
    </row>
    <row r="81" spans="1:12" ht="35.1" customHeight="1" thickBot="1" x14ac:dyDescent="0.25">
      <c r="C81" s="956"/>
      <c r="D81" s="956"/>
      <c r="E81" s="956"/>
      <c r="F81" s="80" t="e">
        <f>SQRT(F78^2+F79^2+F80^2)</f>
        <v>#N/A</v>
      </c>
      <c r="G81" s="80" t="e">
        <f t="shared" ref="G81:J81" si="14">SQRT(G78^2+G79^2+G80^2)</f>
        <v>#N/A</v>
      </c>
      <c r="H81" s="80" t="e">
        <f t="shared" si="14"/>
        <v>#N/A</v>
      </c>
      <c r="I81" s="80" t="e">
        <f t="shared" si="14"/>
        <v>#N/A</v>
      </c>
      <c r="J81" s="80" t="e">
        <f t="shared" si="14"/>
        <v>#N/A</v>
      </c>
      <c r="K81" s="59" t="s">
        <v>52</v>
      </c>
      <c r="L81" s="183"/>
    </row>
    <row r="82" spans="1:12" ht="35.1" customHeight="1" thickBot="1" x14ac:dyDescent="0.25">
      <c r="C82" s="1"/>
      <c r="D82" s="1"/>
      <c r="F82" s="887" t="s">
        <v>432</v>
      </c>
      <c r="G82" s="888"/>
      <c r="H82" s="888"/>
      <c r="I82" s="888"/>
      <c r="J82" s="889"/>
      <c r="K82" s="1"/>
    </row>
    <row r="83" spans="1:12" ht="35.1" customHeight="1" thickBot="1" x14ac:dyDescent="0.25">
      <c r="B83" s="1"/>
      <c r="C83" s="81"/>
      <c r="D83" s="82"/>
      <c r="E83" s="376"/>
      <c r="F83" s="83" t="e">
        <f>SQRT((F76)^2+(F81)^2)</f>
        <v>#DIV/0!</v>
      </c>
      <c r="G83" s="84" t="e">
        <f t="shared" ref="G83:J83" si="15">SQRT((G76)^2+(G81)^2)</f>
        <v>#DIV/0!</v>
      </c>
      <c r="H83" s="84" t="e">
        <f t="shared" si="15"/>
        <v>#DIV/0!</v>
      </c>
      <c r="I83" s="84" t="e">
        <f t="shared" si="15"/>
        <v>#DIV/0!</v>
      </c>
      <c r="J83" s="85" t="e">
        <f t="shared" si="15"/>
        <v>#DIV/0!</v>
      </c>
      <c r="K83" s="1"/>
    </row>
    <row r="84" spans="1:12" s="7" customFormat="1" ht="9.9499999999999993" customHeight="1" thickBot="1" x14ac:dyDescent="0.25">
      <c r="A84" s="86"/>
      <c r="B84" s="86"/>
      <c r="D84" s="69"/>
    </row>
    <row r="85" spans="1:12" s="53" customFormat="1" ht="35.1" customHeight="1" thickBot="1" x14ac:dyDescent="0.25">
      <c r="F85" s="881" t="s">
        <v>29</v>
      </c>
      <c r="G85" s="882"/>
      <c r="H85" s="882"/>
      <c r="I85" s="882"/>
      <c r="J85" s="883"/>
    </row>
    <row r="86" spans="1:12" ht="35.1" customHeight="1" x14ac:dyDescent="0.2">
      <c r="B86" s="1"/>
      <c r="C86" s="87"/>
      <c r="D86" s="87"/>
      <c r="F86" s="929" t="s">
        <v>57</v>
      </c>
      <c r="G86" s="929"/>
      <c r="H86" s="929"/>
      <c r="I86" s="929"/>
      <c r="J86" s="929"/>
    </row>
    <row r="87" spans="1:12" ht="35.1" customHeight="1" x14ac:dyDescent="0.2">
      <c r="A87" s="905" t="s">
        <v>102</v>
      </c>
      <c r="B87" s="906"/>
      <c r="C87" s="906"/>
      <c r="D87" s="954"/>
      <c r="E87" s="955"/>
      <c r="F87" s="88">
        <v>100</v>
      </c>
      <c r="G87" s="88">
        <v>100</v>
      </c>
      <c r="H87" s="88">
        <v>100</v>
      </c>
      <c r="I87" s="88">
        <v>100</v>
      </c>
      <c r="J87" s="88">
        <v>100</v>
      </c>
    </row>
    <row r="88" spans="1:12" ht="35.1" customHeight="1" x14ac:dyDescent="0.2">
      <c r="A88" s="905" t="s">
        <v>103</v>
      </c>
      <c r="B88" s="906"/>
      <c r="C88" s="906"/>
      <c r="D88" s="954"/>
      <c r="E88" s="955"/>
      <c r="F88" s="89">
        <f>$K$43-1</f>
        <v>9</v>
      </c>
      <c r="G88" s="88">
        <f t="shared" ref="G88:J88" si="16">$K$43-1</f>
        <v>9</v>
      </c>
      <c r="H88" s="88">
        <f t="shared" si="16"/>
        <v>9</v>
      </c>
      <c r="I88" s="88">
        <f t="shared" si="16"/>
        <v>9</v>
      </c>
      <c r="J88" s="88">
        <f t="shared" si="16"/>
        <v>9</v>
      </c>
    </row>
    <row r="89" spans="1:12" ht="35.1" customHeight="1" x14ac:dyDescent="0.2">
      <c r="A89" s="905" t="s">
        <v>104</v>
      </c>
      <c r="B89" s="906"/>
      <c r="C89" s="906"/>
      <c r="D89" s="954"/>
      <c r="E89" s="955"/>
      <c r="F89" s="89">
        <v>100</v>
      </c>
      <c r="G89" s="88">
        <v>100</v>
      </c>
      <c r="H89" s="88">
        <v>100</v>
      </c>
      <c r="I89" s="88">
        <v>100</v>
      </c>
      <c r="J89" s="88">
        <v>100</v>
      </c>
    </row>
    <row r="90" spans="1:12" ht="50.1" customHeight="1" thickBot="1" x14ac:dyDescent="0.25">
      <c r="B90" s="90"/>
      <c r="C90" s="91"/>
      <c r="D90" s="376"/>
      <c r="E90" s="378"/>
      <c r="F90" s="92" t="e">
        <f>F76^4/(F73^4/100+(F74^4/(K43-1))+(F75^4/100))</f>
        <v>#DIV/0!</v>
      </c>
      <c r="G90" s="93" t="e">
        <f>G76^4/(G73^4/100+(G74^4/(K43-1))+(G75^4/100))</f>
        <v>#DIV/0!</v>
      </c>
      <c r="H90" s="93" t="e">
        <f>H76^4/(H73^4/100+(H74^4/(K43-1))+(H75^4/100))</f>
        <v>#DIV/0!</v>
      </c>
      <c r="I90" s="93" t="e">
        <f>I76^4/(I73^4/100+(I74^4/(K43-1))+(I75^4/100))</f>
        <v>#DIV/0!</v>
      </c>
      <c r="J90" s="93" t="e">
        <f>J76^4/(J73^4/100+(J74^4/(K43-1))+(J75^4/100))</f>
        <v>#DIV/0!</v>
      </c>
    </row>
    <row r="91" spans="1:12" ht="35.1" customHeight="1" thickBot="1" x14ac:dyDescent="0.25">
      <c r="B91" s="1"/>
      <c r="C91" s="40"/>
      <c r="D91" s="40"/>
      <c r="E91" s="40"/>
      <c r="F91" s="902" t="s">
        <v>56</v>
      </c>
      <c r="G91" s="903"/>
      <c r="H91" s="903"/>
      <c r="I91" s="903"/>
      <c r="J91" s="904"/>
      <c r="K91" s="1"/>
    </row>
    <row r="92" spans="1:12" ht="35.1" customHeight="1" x14ac:dyDescent="0.2">
      <c r="A92" s="905" t="s">
        <v>105</v>
      </c>
      <c r="B92" s="906"/>
      <c r="C92" s="906"/>
      <c r="D92" s="907"/>
      <c r="E92" s="908"/>
      <c r="F92" s="94">
        <v>100</v>
      </c>
      <c r="G92" s="95">
        <v>100</v>
      </c>
      <c r="H92" s="95">
        <v>100</v>
      </c>
      <c r="I92" s="95">
        <v>100</v>
      </c>
      <c r="J92" s="95">
        <v>100</v>
      </c>
      <c r="K92" s="1"/>
    </row>
    <row r="93" spans="1:12" ht="35.1" customHeight="1" x14ac:dyDescent="0.2">
      <c r="A93" s="905" t="s">
        <v>106</v>
      </c>
      <c r="B93" s="906"/>
      <c r="C93" s="906"/>
      <c r="D93" s="907"/>
      <c r="E93" s="908"/>
      <c r="F93" s="89">
        <v>100</v>
      </c>
      <c r="G93" s="88">
        <v>100</v>
      </c>
      <c r="H93" s="88">
        <v>100</v>
      </c>
      <c r="I93" s="88">
        <v>100</v>
      </c>
      <c r="J93" s="88">
        <v>100</v>
      </c>
      <c r="K93" s="1"/>
    </row>
    <row r="94" spans="1:12" ht="35.1" customHeight="1" x14ac:dyDescent="0.2">
      <c r="A94" s="905" t="s">
        <v>107</v>
      </c>
      <c r="B94" s="906"/>
      <c r="C94" s="906"/>
      <c r="D94" s="907"/>
      <c r="E94" s="908"/>
      <c r="F94" s="89">
        <v>100</v>
      </c>
      <c r="G94" s="88">
        <v>100</v>
      </c>
      <c r="H94" s="88">
        <v>100</v>
      </c>
      <c r="I94" s="88">
        <v>100</v>
      </c>
      <c r="J94" s="88">
        <v>100</v>
      </c>
      <c r="K94" s="1"/>
    </row>
    <row r="95" spans="1:12" ht="50.1" customHeight="1" thickBot="1" x14ac:dyDescent="0.25">
      <c r="B95" s="953"/>
      <c r="C95" s="953"/>
      <c r="D95" s="953"/>
      <c r="E95" s="953"/>
      <c r="F95" s="93" t="e">
        <f>F81^4/((F78^4/100)+(F79^4/100)+(F80^4/100))</f>
        <v>#N/A</v>
      </c>
      <c r="G95" s="93" t="e">
        <f>G81^4/((G78^4/100)+(G79^4/100)+(G80^4/100))</f>
        <v>#N/A</v>
      </c>
      <c r="H95" s="93" t="e">
        <f>H81^4/((H78^4/100)+(H79^4/100)+(H80^4/100))</f>
        <v>#N/A</v>
      </c>
      <c r="I95" s="93" t="e">
        <f>I81^4/((I78^4/100)+(I79^4/100)+(I80^4/100))</f>
        <v>#N/A</v>
      </c>
      <c r="J95" s="93" t="e">
        <f>J81^4/((J78^4/100)+(J79^4/100)+(J80^4/100))</f>
        <v>#N/A</v>
      </c>
      <c r="K95" s="1"/>
    </row>
    <row r="96" spans="1:12" ht="35.1" customHeight="1" thickBot="1" x14ac:dyDescent="0.25">
      <c r="B96" s="1"/>
      <c r="C96" s="1"/>
      <c r="D96" s="1"/>
      <c r="E96" s="1"/>
      <c r="F96" s="899" t="s">
        <v>30</v>
      </c>
      <c r="G96" s="900"/>
      <c r="H96" s="900"/>
      <c r="I96" s="900"/>
      <c r="J96" s="901"/>
      <c r="K96" s="1"/>
    </row>
    <row r="97" spans="1:13" ht="50.1" customHeight="1" x14ac:dyDescent="0.2">
      <c r="B97" s="7"/>
      <c r="C97" s="964"/>
      <c r="D97" s="909"/>
      <c r="E97" s="910"/>
      <c r="F97" s="96" t="e">
        <f>F83^4/((F76^4/F90)+(F81^4/F95))</f>
        <v>#DIV/0!</v>
      </c>
      <c r="G97" s="97" t="e">
        <f>G83^4/((G76^4/G90)+(G81^4/G95))</f>
        <v>#DIV/0!</v>
      </c>
      <c r="H97" s="97" t="e">
        <f>H83^4/((H76^4/H90)+(H81^4/H95))</f>
        <v>#DIV/0!</v>
      </c>
      <c r="I97" s="97" t="e">
        <f>I83^4/((I76^4/I90)+(I81^4/I95))</f>
        <v>#DIV/0!</v>
      </c>
      <c r="J97" s="97" t="e">
        <f>J83^4/((J76^4/J90)+(J81^4/J95))</f>
        <v>#DIV/0!</v>
      </c>
      <c r="K97" s="1"/>
    </row>
    <row r="98" spans="1:13" s="7" customFormat="1" ht="9.9499999999999993" customHeight="1" thickBot="1" x14ac:dyDescent="0.25">
      <c r="B98" s="86"/>
      <c r="C98" s="86"/>
      <c r="E98" s="69"/>
    </row>
    <row r="99" spans="1:13" ht="35.1" customHeight="1" thickBot="1" x14ac:dyDescent="0.25">
      <c r="B99" s="1"/>
      <c r="C99" s="1"/>
      <c r="D99" s="1"/>
      <c r="E99" s="1"/>
      <c r="F99" s="899" t="s">
        <v>31</v>
      </c>
      <c r="G99" s="900"/>
      <c r="H99" s="900"/>
      <c r="I99" s="900"/>
      <c r="J99" s="901"/>
      <c r="K99" s="1"/>
    </row>
    <row r="100" spans="1:13" ht="35.1" customHeight="1" x14ac:dyDescent="0.2">
      <c r="B100" s="90"/>
      <c r="C100" s="98"/>
      <c r="D100" s="91"/>
      <c r="E100" s="377"/>
      <c r="F100" s="99" t="e">
        <f>_xlfn.T.INV.2T(100%-$I$102,F97)</f>
        <v>#DIV/0!</v>
      </c>
      <c r="G100" s="99" t="e">
        <f>_xlfn.T.INV.2T(100%-$I$102,G97)</f>
        <v>#DIV/0!</v>
      </c>
      <c r="H100" s="99" t="e">
        <f>_xlfn.T.INV.2T(100%-$I$102,H97)</f>
        <v>#DIV/0!</v>
      </c>
      <c r="I100" s="99" t="e">
        <f>_xlfn.T.INV.2T(100%-$I$102,I97)</f>
        <v>#DIV/0!</v>
      </c>
      <c r="J100" s="99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896" t="s">
        <v>58</v>
      </c>
      <c r="G102" s="897"/>
      <c r="H102" s="898"/>
      <c r="I102" s="100">
        <f>'DATOS '!N8</f>
        <v>0.95450000000000002</v>
      </c>
      <c r="L102" s="6"/>
    </row>
    <row r="103" spans="1:13" s="53" customFormat="1" ht="9.9499999999999993" customHeight="1" thickBot="1" x14ac:dyDescent="0.25">
      <c r="F103" s="101"/>
      <c r="G103" s="101"/>
      <c r="H103" s="101"/>
      <c r="I103" s="102"/>
      <c r="J103" s="102"/>
    </row>
    <row r="104" spans="1:13" s="53" customFormat="1" ht="35.1" customHeight="1" thickBot="1" x14ac:dyDescent="0.25">
      <c r="B104" s="962" t="s">
        <v>372</v>
      </c>
      <c r="C104" s="963"/>
      <c r="D104" s="963"/>
      <c r="E104" s="175"/>
      <c r="F104" s="174" t="e">
        <f>F83*F100</f>
        <v>#DIV/0!</v>
      </c>
      <c r="G104" s="103" t="e">
        <f>G83*G100</f>
        <v>#DIV/0!</v>
      </c>
      <c r="H104" s="103" t="e">
        <f>H83*H100</f>
        <v>#DIV/0!</v>
      </c>
      <c r="I104" s="103" t="e">
        <f>I83*I100</f>
        <v>#DIV/0!</v>
      </c>
      <c r="J104" s="154" t="e">
        <f>J83*J100</f>
        <v>#DIV/0!</v>
      </c>
    </row>
    <row r="105" spans="1:13" s="53" customFormat="1" ht="35.1" customHeight="1" thickBot="1" x14ac:dyDescent="0.25">
      <c r="B105" s="941" t="s">
        <v>373</v>
      </c>
      <c r="C105" s="942"/>
      <c r="D105" s="942"/>
      <c r="E105" s="190"/>
      <c r="F105" s="187" t="e">
        <f>F104/1000</f>
        <v>#DIV/0!</v>
      </c>
      <c r="G105" s="188" t="e">
        <f t="shared" ref="G105:J105" si="17">G104/1000</f>
        <v>#DIV/0!</v>
      </c>
      <c r="H105" s="188" t="e">
        <f t="shared" si="17"/>
        <v>#DIV/0!</v>
      </c>
      <c r="I105" s="189" t="e">
        <f t="shared" si="17"/>
        <v>#DIV/0!</v>
      </c>
      <c r="J105" s="189" t="e">
        <f t="shared" si="17"/>
        <v>#DIV/0!</v>
      </c>
    </row>
    <row r="106" spans="1:13" s="53" customFormat="1" ht="33" customHeight="1" thickBot="1" x14ac:dyDescent="0.25">
      <c r="E106" s="101"/>
      <c r="F106" s="101"/>
      <c r="G106" s="101"/>
      <c r="H106" s="102"/>
      <c r="I106" s="102"/>
      <c r="J106" s="104"/>
      <c r="K106" s="104"/>
      <c r="L106" s="104"/>
      <c r="M106" s="104"/>
    </row>
    <row r="107" spans="1:13" s="53" customFormat="1" ht="35.1" customHeight="1" thickBot="1" x14ac:dyDescent="0.25">
      <c r="A107" s="899" t="s">
        <v>433</v>
      </c>
      <c r="B107" s="900"/>
      <c r="C107" s="900"/>
      <c r="D107" s="900"/>
      <c r="E107" s="900"/>
      <c r="F107" s="900"/>
      <c r="G107" s="901"/>
      <c r="I107" s="937" t="s">
        <v>115</v>
      </c>
      <c r="J107" s="938"/>
      <c r="K107" s="939"/>
    </row>
    <row r="108" spans="1:13" s="53" customFormat="1" ht="35.1" customHeight="1" x14ac:dyDescent="0.2">
      <c r="A108" s="105" t="s">
        <v>36</v>
      </c>
      <c r="B108" s="105" t="s">
        <v>37</v>
      </c>
      <c r="C108" s="105" t="s">
        <v>141</v>
      </c>
      <c r="D108" s="105" t="s">
        <v>142</v>
      </c>
      <c r="E108" s="106" t="s">
        <v>40</v>
      </c>
      <c r="F108" s="107"/>
      <c r="G108" s="940" t="s">
        <v>143</v>
      </c>
      <c r="I108" s="934"/>
      <c r="J108" s="935"/>
      <c r="K108" s="936"/>
    </row>
    <row r="109" spans="1:13" s="53" customFormat="1" ht="35.1" customHeight="1" x14ac:dyDescent="0.2">
      <c r="A109" s="108"/>
      <c r="B109" s="108"/>
      <c r="C109" s="108"/>
      <c r="D109" s="108"/>
      <c r="E109" s="109"/>
      <c r="F109" s="110"/>
      <c r="G109" s="940"/>
      <c r="I109" s="890"/>
      <c r="J109" s="891"/>
      <c r="K109" s="892"/>
    </row>
    <row r="110" spans="1:13" s="53" customFormat="1" ht="35.1" customHeight="1" x14ac:dyDescent="0.2">
      <c r="A110" s="111" t="e">
        <f>(1/F83)^2</f>
        <v>#DIV/0!</v>
      </c>
      <c r="B110" s="111" t="e">
        <f>A110*J55*L55</f>
        <v>#DIV/0!</v>
      </c>
      <c r="C110" s="111" t="e">
        <f>(J55)^2*A110</f>
        <v>#DIV/0!</v>
      </c>
      <c r="D110" s="111" t="e">
        <f>((($B$118*$E$119)+($B$119*(J55^2))))</f>
        <v>#DIV/0!</v>
      </c>
      <c r="E110" s="112" t="e">
        <f>SQRT($E$119+D110)</f>
        <v>#N/A</v>
      </c>
      <c r="F110" s="113"/>
      <c r="G110" s="114" t="e">
        <f>A110*($B$117*J55-L55)^2</f>
        <v>#DIV/0!</v>
      </c>
      <c r="I110" s="890"/>
      <c r="J110" s="891"/>
      <c r="K110" s="892"/>
    </row>
    <row r="111" spans="1:13" s="53" customFormat="1" ht="35.1" customHeight="1" x14ac:dyDescent="0.2">
      <c r="A111" s="111" t="e">
        <f>(1/G83)^2</f>
        <v>#DIV/0!</v>
      </c>
      <c r="B111" s="111" t="e">
        <f>A111*J56*L56</f>
        <v>#DIV/0!</v>
      </c>
      <c r="C111" s="111" t="e">
        <f>(J56)^2*A111</f>
        <v>#DIV/0!</v>
      </c>
      <c r="D111" s="111" t="e">
        <f>$B$118*$E$119+$B$119*J56^2</f>
        <v>#DIV/0!</v>
      </c>
      <c r="E111" s="112" t="e">
        <f>SQRT($E$119+D111)</f>
        <v>#N/A</v>
      </c>
      <c r="F111" s="115"/>
      <c r="G111" s="114" t="e">
        <f>A111*($B$117*J56-L56)^2</f>
        <v>#DIV/0!</v>
      </c>
      <c r="I111" s="890"/>
      <c r="J111" s="891"/>
      <c r="K111" s="892"/>
    </row>
    <row r="112" spans="1:13" s="53" customFormat="1" ht="35.1" customHeight="1" x14ac:dyDescent="0.2">
      <c r="A112" s="111" t="e">
        <f>(1/H83)^2</f>
        <v>#DIV/0!</v>
      </c>
      <c r="B112" s="111" t="e">
        <f>A112*J57*L57</f>
        <v>#DIV/0!</v>
      </c>
      <c r="C112" s="111" t="e">
        <f>(J57)^2*A112</f>
        <v>#DIV/0!</v>
      </c>
      <c r="D112" s="111" t="e">
        <f>$B$118*$E$119+$B$119*J57^2</f>
        <v>#DIV/0!</v>
      </c>
      <c r="E112" s="112" t="e">
        <f>SQRT($E$119+D112)</f>
        <v>#N/A</v>
      </c>
      <c r="F112" s="116"/>
      <c r="G112" s="114" t="e">
        <f>A112*($B$117*J57-L57)^2</f>
        <v>#DIV/0!</v>
      </c>
      <c r="I112" s="890"/>
      <c r="J112" s="891"/>
      <c r="K112" s="892"/>
    </row>
    <row r="113" spans="1:12" s="53" customFormat="1" ht="35.1" customHeight="1" x14ac:dyDescent="0.2">
      <c r="A113" s="111" t="e">
        <f>(1/I83)^2</f>
        <v>#DIV/0!</v>
      </c>
      <c r="B113" s="111" t="e">
        <f>A113*J58*L58</f>
        <v>#DIV/0!</v>
      </c>
      <c r="C113" s="111" t="e">
        <f>(J58)^2*A113</f>
        <v>#DIV/0!</v>
      </c>
      <c r="D113" s="111" t="e">
        <f>$B$118*$E$119+$B$119*J58^2</f>
        <v>#DIV/0!</v>
      </c>
      <c r="E113" s="112" t="e">
        <f>SQRT($E$119+D113)</f>
        <v>#N/A</v>
      </c>
      <c r="F113" s="115"/>
      <c r="G113" s="114" t="e">
        <f>A113*($B$117*J58-L58)^2</f>
        <v>#DIV/0!</v>
      </c>
      <c r="I113" s="890"/>
      <c r="J113" s="891"/>
      <c r="K113" s="892"/>
    </row>
    <row r="114" spans="1:12" s="53" customFormat="1" ht="35.1" customHeight="1" x14ac:dyDescent="0.2">
      <c r="A114" s="111" t="e">
        <f>(1/J83)^2</f>
        <v>#DIV/0!</v>
      </c>
      <c r="B114" s="111" t="e">
        <f>A114*J59*L59</f>
        <v>#DIV/0!</v>
      </c>
      <c r="C114" s="111" t="e">
        <f>(J59)^2*A114</f>
        <v>#DIV/0!</v>
      </c>
      <c r="D114" s="111" t="e">
        <f>$B$118*$E$119+$B$119*J59^2</f>
        <v>#DIV/0!</v>
      </c>
      <c r="E114" s="112" t="e">
        <f>SQRT($E$119+D114)</f>
        <v>#N/A</v>
      </c>
      <c r="F114" s="115"/>
      <c r="G114" s="114" t="e">
        <f>A114*($B$117*J59-L59)^2</f>
        <v>#DIV/0!</v>
      </c>
      <c r="I114" s="890"/>
      <c r="J114" s="891"/>
      <c r="K114" s="892"/>
    </row>
    <row r="115" spans="1:12" s="6" customFormat="1" ht="27" customHeight="1" x14ac:dyDescent="0.25">
      <c r="A115" s="151" t="s">
        <v>38</v>
      </c>
      <c r="B115" s="117" t="e">
        <f t="shared" ref="B115" si="18">SUM(B110:B114)</f>
        <v>#DIV/0!</v>
      </c>
      <c r="C115" s="117" t="e">
        <f>SUM(C110:C114)</f>
        <v>#DIV/0!</v>
      </c>
      <c r="D115" s="118"/>
      <c r="E115" s="119" t="s">
        <v>144</v>
      </c>
      <c r="F115" s="120"/>
      <c r="G115" s="121" t="e">
        <f>SUM(G110:G114)</f>
        <v>#DIV/0!</v>
      </c>
      <c r="I115" s="890"/>
      <c r="J115" s="891"/>
      <c r="K115" s="892"/>
    </row>
    <row r="116" spans="1:12" s="6" customFormat="1" ht="9.9499999999999993" customHeight="1" x14ac:dyDescent="0.2">
      <c r="B116" s="118"/>
      <c r="C116" s="118"/>
      <c r="D116" s="118"/>
      <c r="E116" s="118"/>
      <c r="F116" s="118"/>
      <c r="G116" s="118"/>
    </row>
    <row r="117" spans="1:12" ht="35.1" customHeight="1" x14ac:dyDescent="0.2">
      <c r="A117" s="122" t="s">
        <v>145</v>
      </c>
      <c r="B117" s="111" t="e">
        <f>(B115/C115)</f>
        <v>#DIV/0!</v>
      </c>
      <c r="F117" s="123" t="s">
        <v>43</v>
      </c>
      <c r="G117" s="193">
        <v>2</v>
      </c>
      <c r="I117" s="124"/>
      <c r="J117" s="124"/>
      <c r="K117" s="124"/>
    </row>
    <row r="118" spans="1:12" ht="35.1" customHeight="1" thickBot="1" x14ac:dyDescent="0.25">
      <c r="A118" s="125" t="s">
        <v>146</v>
      </c>
      <c r="B118" s="126" t="e">
        <f>B117^2</f>
        <v>#DIV/0!</v>
      </c>
      <c r="C118" s="127" t="s">
        <v>147</v>
      </c>
      <c r="D118" s="120"/>
      <c r="E118" s="126" t="e">
        <f>F48^2</f>
        <v>#DIV/0!</v>
      </c>
      <c r="F118" s="128" t="s">
        <v>44</v>
      </c>
      <c r="G118" s="194">
        <f>G26</f>
        <v>3</v>
      </c>
      <c r="I118" s="129" t="e">
        <f>ABS(G115-G118)</f>
        <v>#DIV/0!</v>
      </c>
      <c r="J118" s="130" t="s">
        <v>39</v>
      </c>
      <c r="K118" s="449">
        <f>G117*SQRT(2*G118)</f>
        <v>4.8989794855663558</v>
      </c>
    </row>
    <row r="119" spans="1:12" ht="35.1" customHeight="1" thickBot="1" x14ac:dyDescent="0.25">
      <c r="A119" s="131" t="s">
        <v>111</v>
      </c>
      <c r="B119" s="126" t="e">
        <f>1/C115</f>
        <v>#DIV/0!</v>
      </c>
      <c r="C119" s="152" t="s">
        <v>148</v>
      </c>
      <c r="D119" s="153"/>
      <c r="E119" s="126" t="e">
        <f>((D14*1000)^2)/6+E118</f>
        <v>#N/A</v>
      </c>
      <c r="F119" s="123" t="s">
        <v>64</v>
      </c>
      <c r="G119" s="486" t="e">
        <f>MAX(F100:J100)</f>
        <v>#DIV/0!</v>
      </c>
      <c r="H119" s="487">
        <f>'DATOS '!M8</f>
        <v>2</v>
      </c>
      <c r="I119" s="958" t="e">
        <f>IF(I118&lt;=K118,"APROBADO","NO APROBADO")</f>
        <v>#DIV/0!</v>
      </c>
      <c r="J119" s="959"/>
      <c r="K119" s="959"/>
    </row>
    <row r="120" spans="1:12" ht="9.9499999999999993" customHeight="1" thickBot="1" x14ac:dyDescent="0.25"/>
    <row r="121" spans="1:12" ht="35.1" customHeight="1" thickBot="1" x14ac:dyDescent="0.25">
      <c r="A121" s="884" t="s">
        <v>110</v>
      </c>
      <c r="B121" s="885"/>
      <c r="C121" s="885"/>
      <c r="D121" s="885"/>
      <c r="E121" s="885"/>
      <c r="F121" s="885"/>
      <c r="G121" s="885"/>
      <c r="H121" s="885"/>
      <c r="I121" s="885"/>
      <c r="J121" s="885"/>
      <c r="K121" s="885"/>
      <c r="L121" s="886"/>
    </row>
    <row r="122" spans="1:12" ht="35.1" customHeight="1" x14ac:dyDescent="0.2">
      <c r="C122" s="166" t="s">
        <v>41</v>
      </c>
      <c r="D122" s="167" t="e">
        <f>SLOPE(E110:E114,G21:G25)</f>
        <v>#N/A</v>
      </c>
      <c r="E122" s="879" t="s">
        <v>112</v>
      </c>
      <c r="F122" s="880"/>
      <c r="G122" s="168" t="s">
        <v>74</v>
      </c>
      <c r="H122" s="195">
        <v>5</v>
      </c>
      <c r="I122" s="1"/>
      <c r="K122" s="1"/>
    </row>
    <row r="123" spans="1:12" ht="35.1" customHeight="1" x14ac:dyDescent="0.2">
      <c r="C123" s="132" t="s">
        <v>42</v>
      </c>
      <c r="D123" s="66" t="e">
        <f>INTERCEPT(E110:E114,G21:G25)</f>
        <v>#N/A</v>
      </c>
      <c r="E123" s="877" t="s">
        <v>113</v>
      </c>
      <c r="F123" s="878"/>
      <c r="G123" s="132" t="s">
        <v>75</v>
      </c>
      <c r="H123" s="133" t="e">
        <f>D122*H122+D123</f>
        <v>#N/A</v>
      </c>
    </row>
    <row r="124" spans="1:12" ht="35.1" customHeight="1" x14ac:dyDescent="0.2">
      <c r="L124" s="6"/>
    </row>
    <row r="125" spans="1:12" ht="35.1" customHeight="1" x14ac:dyDescent="0.2">
      <c r="J125" s="34" t="s">
        <v>68</v>
      </c>
      <c r="K125" s="34" t="s">
        <v>69</v>
      </c>
    </row>
    <row r="126" spans="1:12" ht="35.1" customHeight="1" x14ac:dyDescent="0.2">
      <c r="J126" s="134" t="e">
        <f>G21</f>
        <v>#N/A</v>
      </c>
      <c r="K126" s="134" t="e">
        <f>E110</f>
        <v>#N/A</v>
      </c>
    </row>
    <row r="127" spans="1:12" ht="35.1" customHeight="1" x14ac:dyDescent="0.2">
      <c r="I127" s="14"/>
      <c r="J127" s="135" t="e">
        <f>G22</f>
        <v>#N/A</v>
      </c>
      <c r="K127" s="135" t="e">
        <f>E111</f>
        <v>#N/A</v>
      </c>
    </row>
    <row r="128" spans="1:12" ht="35.1" customHeight="1" x14ac:dyDescent="0.2">
      <c r="I128" s="14"/>
      <c r="J128" s="135" t="e">
        <f>G23</f>
        <v>#N/A</v>
      </c>
      <c r="K128" s="135" t="e">
        <f>E112</f>
        <v>#N/A</v>
      </c>
    </row>
    <row r="129" spans="1:20" ht="35.1" customHeight="1" x14ac:dyDescent="0.2">
      <c r="I129" s="14"/>
      <c r="J129" s="135" t="e">
        <f>G24</f>
        <v>#N/A</v>
      </c>
      <c r="K129" s="135" t="e">
        <f>E113</f>
        <v>#N/A</v>
      </c>
    </row>
    <row r="130" spans="1:20" ht="35.1" customHeight="1" x14ac:dyDescent="0.2">
      <c r="A130" s="136"/>
      <c r="I130" s="14"/>
      <c r="J130" s="135" t="e">
        <f>G25</f>
        <v>#N/A</v>
      </c>
      <c r="K130" s="135" t="e">
        <f>E114</f>
        <v>#N/A</v>
      </c>
    </row>
    <row r="131" spans="1:20" ht="35.1" customHeight="1" x14ac:dyDescent="0.2">
      <c r="A131" s="136"/>
      <c r="I131" s="14"/>
      <c r="J131" s="14"/>
      <c r="K131" s="14"/>
      <c r="L131" s="14"/>
    </row>
    <row r="132" spans="1:20" ht="9.9499999999999993" customHeight="1" x14ac:dyDescent="0.2">
      <c r="A132" s="136"/>
      <c r="I132" s="137"/>
      <c r="J132" s="137"/>
      <c r="K132" s="137"/>
      <c r="L132" s="137"/>
    </row>
    <row r="133" spans="1:20" s="6" customFormat="1" ht="35.1" customHeight="1" x14ac:dyDescent="0.2">
      <c r="B133" s="138" t="s">
        <v>149</v>
      </c>
      <c r="C133" s="139"/>
      <c r="D133" s="140" t="e">
        <f>B117*E118</f>
        <v>#DIV/0!</v>
      </c>
      <c r="E133" s="141" t="s">
        <v>70</v>
      </c>
      <c r="F133" s="139" t="s">
        <v>150</v>
      </c>
      <c r="G133" s="126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142"/>
      <c r="E134" s="143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881" t="s">
        <v>72</v>
      </c>
      <c r="B135" s="882"/>
      <c r="C135" s="882"/>
      <c r="D135" s="882"/>
      <c r="E135" s="882"/>
      <c r="F135" s="882"/>
      <c r="G135" s="882"/>
      <c r="H135" s="882"/>
      <c r="I135" s="882"/>
      <c r="J135" s="882"/>
      <c r="K135" s="882"/>
      <c r="L135" s="883"/>
    </row>
    <row r="136" spans="1:20" ht="35.1" customHeight="1" x14ac:dyDescent="0.2">
      <c r="B136" s="875" t="s">
        <v>65</v>
      </c>
      <c r="C136" s="875"/>
      <c r="D136" s="875"/>
      <c r="E136" s="42" t="s">
        <v>134</v>
      </c>
      <c r="F136" s="169" t="e">
        <f>B117</f>
        <v>#DIV/0!</v>
      </c>
      <c r="G136" s="533" t="s">
        <v>393</v>
      </c>
      <c r="H136" s="1"/>
      <c r="K136" s="1"/>
    </row>
    <row r="137" spans="1:20" ht="35.25" customHeight="1" x14ac:dyDescent="0.2">
      <c r="B137" s="875" t="s">
        <v>65</v>
      </c>
      <c r="C137" s="875"/>
      <c r="D137" s="875"/>
      <c r="E137" s="532" t="s">
        <v>394</v>
      </c>
      <c r="F137" s="534" t="e">
        <f>F136/1000</f>
        <v>#DIV/0!</v>
      </c>
      <c r="G137" s="533" t="s">
        <v>71</v>
      </c>
      <c r="H137" s="1"/>
      <c r="K137" s="1"/>
    </row>
    <row r="138" spans="1:20" ht="9.9499999999999993" customHeight="1" x14ac:dyDescent="0.2">
      <c r="K138" s="1"/>
    </row>
    <row r="139" spans="1:20" ht="35.1" customHeight="1" x14ac:dyDescent="0.2">
      <c r="B139" s="876" t="s">
        <v>66</v>
      </c>
      <c r="C139" s="876"/>
      <c r="D139" s="876"/>
      <c r="E139" s="47" t="s">
        <v>73</v>
      </c>
      <c r="F139" s="157" t="e">
        <f>D123*H119</f>
        <v>#N/A</v>
      </c>
      <c r="G139" s="141" t="s">
        <v>70</v>
      </c>
      <c r="H139" s="158" t="e">
        <f>D122*H119</f>
        <v>#N/A</v>
      </c>
      <c r="I139" s="531" t="s">
        <v>393</v>
      </c>
      <c r="J139" s="1"/>
      <c r="K139" s="1"/>
    </row>
    <row r="140" spans="1:20" ht="35.1" customHeight="1" x14ac:dyDescent="0.2">
      <c r="B140" s="950" t="s">
        <v>66</v>
      </c>
      <c r="C140" s="950"/>
      <c r="D140" s="950"/>
      <c r="E140" s="530" t="s">
        <v>383</v>
      </c>
      <c r="F140" s="529" t="e">
        <f>F139/1000</f>
        <v>#N/A</v>
      </c>
      <c r="G140" s="191" t="s">
        <v>70</v>
      </c>
      <c r="H140" s="528" t="e">
        <f>H139/1000</f>
        <v>#N/A</v>
      </c>
      <c r="I140" s="192" t="s">
        <v>71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142"/>
    </row>
    <row r="143" spans="1:20" ht="15" customHeight="1" x14ac:dyDescent="0.2"/>
    <row r="144" spans="1:20" ht="15" customHeight="1" x14ac:dyDescent="0.2"/>
  </sheetData>
  <sheetProtection algorithmName="SHA-512" hashValue="H/AA5OxUii56NLxNrhXKmMRmDXaB7UvMDUou9F/hNlALF/EnEkuyu31dT4zbo6+ti8FrWNWSZFhEDbmepQ7RKw==" saltValue="VDQApElItcpIJ12oZkKzfQ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09"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B18:C20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I112:K112"/>
    <mergeCell ref="G12:H12"/>
    <mergeCell ref="G14:H14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F69:J69"/>
    <mergeCell ref="B64:C64"/>
    <mergeCell ref="B65:C65"/>
    <mergeCell ref="A73:E73"/>
    <mergeCell ref="A74:E74"/>
    <mergeCell ref="C24:D24"/>
    <mergeCell ref="B31:I31"/>
    <mergeCell ref="B33:G33"/>
    <mergeCell ref="F86:J86"/>
    <mergeCell ref="B52:L52"/>
    <mergeCell ref="F29:G29"/>
    <mergeCell ref="B61:I61"/>
    <mergeCell ref="K64:L64"/>
    <mergeCell ref="F77:J77"/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44" orientation="portrait" r:id="rId3"/>
  <headerFooter>
    <oddFooter>&amp;RRT03-F12 Vr.4 (2018-08-14)
Página &amp;P de 3</oddFooter>
  </headerFooter>
  <rowBreaks count="2" manualBreakCount="2">
    <brk id="50" max="16383" man="1"/>
    <brk id="97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'DATOS '!$C$27:$C$88</xm:f>
          </x14:formula1>
          <xm:sqref>E24 K21:K24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'!$C$101:$C$153</xm:f>
          </x14:formula1>
          <xm:sqref>K28</xm:sqref>
        </x14:dataValidation>
        <x14:dataValidation type="list" allowBlank="1" showInputMessage="1" showErrorMessage="1">
          <x14:formula1>
            <xm:f>'DATOS '!$O$101:$O$147</xm:f>
          </x14:formula1>
          <xm:sqref>K29</xm:sqref>
        </x14:dataValidation>
        <x14:dataValidation type="list" allowBlank="1" showInputMessage="1" showErrorMessage="1">
          <x14:formula1>
            <xm:f>'DATOS '!$D$158:$D$162</xm:f>
          </x14:formula1>
          <xm:sqref>K62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0"/>
  <sheetViews>
    <sheetView showGridLines="0" showRuler="0" showWhiteSpace="0" view="pageBreakPreview" topLeftCell="A13" zoomScale="130" zoomScaleNormal="110" zoomScaleSheetLayoutView="130" zoomScalePageLayoutView="85" workbookViewId="0">
      <selection activeCell="A185" sqref="A185:C185"/>
    </sheetView>
  </sheetViews>
  <sheetFormatPr baseColWidth="10" defaultRowHeight="15" customHeight="1" x14ac:dyDescent="0.2"/>
  <cols>
    <col min="1" max="1" width="14.7109375" style="373" customWidth="1"/>
    <col min="2" max="2" width="14.5703125" style="373" customWidth="1"/>
    <col min="3" max="3" width="14.7109375" style="373" customWidth="1"/>
    <col min="4" max="4" width="15.85546875" style="373" customWidth="1"/>
    <col min="5" max="5" width="17" style="373" customWidth="1"/>
    <col min="6" max="6" width="16.28515625" style="373" customWidth="1"/>
    <col min="7" max="16384" width="11.42578125" style="373"/>
  </cols>
  <sheetData>
    <row r="1" spans="1:6" ht="65.099999999999994" customHeight="1" x14ac:dyDescent="0.2">
      <c r="A1" s="490"/>
      <c r="B1" s="490"/>
      <c r="C1" s="491"/>
      <c r="D1" s="491"/>
      <c r="E1" s="491"/>
      <c r="F1" s="491"/>
    </row>
    <row r="2" spans="1:6" ht="12" customHeight="1" x14ac:dyDescent="0.2">
      <c r="A2" s="492"/>
      <c r="B2" s="492"/>
      <c r="D2" s="1028" t="s">
        <v>460</v>
      </c>
      <c r="E2" s="1028"/>
      <c r="F2" s="535" t="e">
        <f>'RT03-F12'!I6</f>
        <v>#N/A</v>
      </c>
    </row>
    <row r="3" spans="1:6" ht="20.100000000000001" customHeight="1" x14ac:dyDescent="0.2">
      <c r="A3" s="1003" t="s">
        <v>77</v>
      </c>
      <c r="B3" s="1003"/>
      <c r="C3" s="1003"/>
    </row>
    <row r="4" spans="1:6" ht="12" customHeight="1" x14ac:dyDescent="0.2">
      <c r="A4" s="493"/>
      <c r="B4" s="494"/>
      <c r="C4" s="494"/>
      <c r="D4" s="494"/>
      <c r="E4" s="494"/>
      <c r="F4" s="494"/>
    </row>
    <row r="5" spans="1:6" ht="15" customHeight="1" x14ac:dyDescent="0.2">
      <c r="A5" s="1010" t="s">
        <v>430</v>
      </c>
      <c r="B5" s="1010"/>
      <c r="C5" s="1036" t="e">
        <f>'RT03-F12'!G6</f>
        <v>#N/A</v>
      </c>
      <c r="D5" s="1010"/>
      <c r="E5" s="1010"/>
      <c r="F5" s="1010"/>
    </row>
    <row r="6" spans="1:6" ht="15" customHeight="1" thickBot="1" x14ac:dyDescent="0.25">
      <c r="A6" s="1010" t="s">
        <v>78</v>
      </c>
      <c r="B6" s="1010"/>
      <c r="C6" s="1036" t="e">
        <f>'RT03-F12'!H6</f>
        <v>#N/A</v>
      </c>
      <c r="D6" s="1036"/>
      <c r="E6" s="549"/>
      <c r="F6" s="549"/>
    </row>
    <row r="7" spans="1:6" ht="15" customHeight="1" x14ac:dyDescent="0.2">
      <c r="A7" s="1010" t="s">
        <v>79</v>
      </c>
      <c r="B7" s="1010"/>
      <c r="C7" s="1036" t="s">
        <v>332</v>
      </c>
      <c r="D7" s="1010"/>
      <c r="E7" s="1037" t="s">
        <v>463</v>
      </c>
      <c r="F7" s="1038"/>
    </row>
    <row r="8" spans="1:6" ht="12" customHeight="1" x14ac:dyDescent="0.2">
      <c r="A8" s="1010"/>
      <c r="B8" s="1010"/>
      <c r="C8" s="495"/>
      <c r="D8" s="494"/>
      <c r="E8" s="1039"/>
      <c r="F8" s="1040"/>
    </row>
    <row r="9" spans="1:6" ht="15" customHeight="1" x14ac:dyDescent="0.2">
      <c r="A9" s="1010" t="s">
        <v>124</v>
      </c>
      <c r="B9" s="1010"/>
      <c r="C9" s="1010" t="s">
        <v>434</v>
      </c>
      <c r="D9" s="1010"/>
      <c r="E9" s="1039"/>
      <c r="F9" s="1040"/>
    </row>
    <row r="10" spans="1:6" ht="15" customHeight="1" x14ac:dyDescent="0.2">
      <c r="A10" s="1010" t="s">
        <v>81</v>
      </c>
      <c r="B10" s="1010"/>
      <c r="C10" s="1036">
        <f>'DATOS '!D17</f>
        <v>0</v>
      </c>
      <c r="D10" s="1010"/>
      <c r="E10" s="1039"/>
      <c r="F10" s="1040"/>
    </row>
    <row r="11" spans="1:6" ht="15" customHeight="1" x14ac:dyDescent="0.2">
      <c r="A11" s="1010" t="s">
        <v>9</v>
      </c>
      <c r="B11" s="1010"/>
      <c r="C11" s="1010">
        <f>'DATOS '!E17</f>
        <v>0</v>
      </c>
      <c r="D11" s="1010"/>
      <c r="E11" s="1039"/>
      <c r="F11" s="1040"/>
    </row>
    <row r="12" spans="1:6" ht="15" customHeight="1" x14ac:dyDescent="0.2">
      <c r="A12" s="1010" t="s">
        <v>82</v>
      </c>
      <c r="B12" s="1010"/>
      <c r="C12" s="514">
        <f>'DATOS '!F17</f>
        <v>0</v>
      </c>
      <c r="D12" s="494"/>
      <c r="E12" s="1039"/>
      <c r="F12" s="1040"/>
    </row>
    <row r="13" spans="1:6" ht="20.100000000000001" customHeight="1" thickBot="1" x14ac:dyDescent="0.25">
      <c r="A13" s="499"/>
      <c r="B13" s="499"/>
      <c r="C13" s="499"/>
      <c r="D13" s="494"/>
      <c r="E13" s="1041"/>
      <c r="F13" s="1042"/>
    </row>
    <row r="14" spans="1:6" ht="15" customHeight="1" x14ac:dyDescent="0.2">
      <c r="A14" s="496"/>
      <c r="B14" s="496"/>
      <c r="C14" s="496"/>
      <c r="D14" s="494"/>
      <c r="E14" s="497"/>
      <c r="F14" s="497"/>
    </row>
    <row r="15" spans="1:6" ht="12" customHeight="1" x14ac:dyDescent="0.2">
      <c r="A15" s="1010" t="s">
        <v>80</v>
      </c>
      <c r="B15" s="1010"/>
      <c r="C15" s="550" t="e">
        <f>'RT03-F12'!C6</f>
        <v>#N/A</v>
      </c>
      <c r="D15" s="1043" t="s">
        <v>83</v>
      </c>
      <c r="E15" s="1043"/>
      <c r="F15" s="550" t="e">
        <f>'RT03-F12'!F6</f>
        <v>#N/A</v>
      </c>
    </row>
    <row r="16" spans="1:6" ht="15" customHeight="1" x14ac:dyDescent="0.2">
      <c r="A16" s="496"/>
      <c r="B16" s="496"/>
      <c r="C16" s="498"/>
      <c r="D16" s="496"/>
      <c r="E16" s="496"/>
      <c r="F16" s="498"/>
    </row>
    <row r="17" spans="1:6" ht="20.100000000000001" customHeight="1" x14ac:dyDescent="0.2">
      <c r="A17" s="1003" t="s">
        <v>123</v>
      </c>
      <c r="B17" s="1003"/>
      <c r="C17" s="1003"/>
      <c r="D17" s="494"/>
      <c r="E17" s="494"/>
      <c r="F17" s="494"/>
    </row>
    <row r="18" spans="1:6" ht="12" customHeight="1" x14ac:dyDescent="0.2">
      <c r="A18" s="513"/>
      <c r="B18" s="513"/>
      <c r="C18" s="513"/>
      <c r="D18" s="494"/>
      <c r="E18" s="494"/>
      <c r="F18" s="494"/>
    </row>
    <row r="19" spans="1:6" ht="15" customHeight="1" x14ac:dyDescent="0.2">
      <c r="A19" s="1010" t="s">
        <v>119</v>
      </c>
      <c r="B19" s="1010"/>
      <c r="C19" s="552" t="e">
        <f>'RT03-F12'!D12</f>
        <v>#N/A</v>
      </c>
      <c r="D19" s="499" t="s">
        <v>89</v>
      </c>
      <c r="E19" s="499"/>
      <c r="F19" s="499"/>
    </row>
    <row r="20" spans="1:6" ht="15" customHeight="1" x14ac:dyDescent="0.2">
      <c r="A20" s="1010" t="s">
        <v>120</v>
      </c>
      <c r="B20" s="1010"/>
      <c r="C20" s="552" t="e">
        <f>'RT03-F12'!D13</f>
        <v>#N/A</v>
      </c>
      <c r="D20" s="499" t="s">
        <v>89</v>
      </c>
      <c r="E20" s="499"/>
      <c r="F20" s="499"/>
    </row>
    <row r="21" spans="1:6" ht="15" customHeight="1" x14ac:dyDescent="0.2">
      <c r="A21" s="1010" t="s">
        <v>121</v>
      </c>
      <c r="B21" s="1010"/>
      <c r="C21" s="553" t="e">
        <f>'RT03-F12'!D14</f>
        <v>#N/A</v>
      </c>
      <c r="D21" s="499" t="s">
        <v>89</v>
      </c>
      <c r="E21" s="499"/>
      <c r="F21" s="499"/>
    </row>
    <row r="22" spans="1:6" ht="15" customHeight="1" x14ac:dyDescent="0.2">
      <c r="A22" s="1010" t="s">
        <v>122</v>
      </c>
      <c r="B22" s="1010"/>
      <c r="C22" s="552" t="e">
        <f>'RT03-F12'!D15</f>
        <v>#N/A</v>
      </c>
      <c r="D22" s="499" t="s">
        <v>89</v>
      </c>
      <c r="E22" s="499"/>
      <c r="F22" s="499"/>
    </row>
    <row r="24" spans="1:6" ht="20.100000000000001" customHeight="1" x14ac:dyDescent="0.2">
      <c r="A24" s="1003" t="s">
        <v>396</v>
      </c>
      <c r="B24" s="1003"/>
      <c r="C24" s="1035" t="e">
        <f>'RT03-F12'!D6</f>
        <v>#N/A</v>
      </c>
      <c r="D24" s="1035"/>
      <c r="E24" s="1035"/>
      <c r="F24" s="494"/>
    </row>
    <row r="25" spans="1:6" ht="12" customHeight="1" x14ac:dyDescent="0.2">
      <c r="A25" s="499"/>
      <c r="B25" s="499"/>
      <c r="C25" s="499"/>
    </row>
    <row r="26" spans="1:6" ht="12" customHeight="1" x14ac:dyDescent="0.2">
      <c r="A26" s="1003" t="s">
        <v>454</v>
      </c>
      <c r="B26" s="1003"/>
      <c r="C26" s="1003"/>
    </row>
    <row r="27" spans="1:6" ht="20.100000000000001" customHeight="1" x14ac:dyDescent="0.2">
      <c r="A27" s="1031" t="s">
        <v>417</v>
      </c>
      <c r="B27" s="1031"/>
      <c r="C27" s="1031"/>
      <c r="D27" s="1031"/>
      <c r="E27" s="1031"/>
      <c r="F27" s="1031"/>
    </row>
    <row r="28" spans="1:6" ht="12" customHeight="1" x14ac:dyDescent="0.2">
      <c r="D28" s="500"/>
      <c r="E28" s="494"/>
      <c r="F28" s="494"/>
    </row>
    <row r="29" spans="1:6" ht="20.100000000000001" customHeight="1" x14ac:dyDescent="0.2">
      <c r="A29" s="1003" t="s">
        <v>125</v>
      </c>
      <c r="B29" s="1003"/>
      <c r="C29" s="1003"/>
      <c r="D29" s="1003"/>
      <c r="E29" s="1003"/>
      <c r="F29" s="1003"/>
    </row>
    <row r="30" spans="1:6" ht="12" customHeight="1" x14ac:dyDescent="0.2">
      <c r="A30" s="551"/>
      <c r="B30" s="551"/>
      <c r="C30" s="551"/>
      <c r="D30" s="500"/>
      <c r="E30" s="494"/>
      <c r="F30" s="494"/>
    </row>
    <row r="31" spans="1:6" ht="15" customHeight="1" x14ac:dyDescent="0.2">
      <c r="A31" s="1031" t="s">
        <v>84</v>
      </c>
      <c r="B31" s="1031"/>
      <c r="C31" s="1031"/>
      <c r="D31" s="1031"/>
      <c r="E31" s="1031"/>
      <c r="F31" s="1031"/>
    </row>
    <row r="32" spans="1:6" ht="12" customHeight="1" x14ac:dyDescent="0.2">
      <c r="A32" s="499"/>
      <c r="B32" s="499"/>
      <c r="C32" s="499"/>
      <c r="D32" s="499"/>
      <c r="E32" s="499"/>
      <c r="F32" s="499"/>
    </row>
    <row r="33" spans="1:6" ht="20.100000000000001" customHeight="1" x14ac:dyDescent="0.2">
      <c r="A33" s="1005" t="s">
        <v>126</v>
      </c>
      <c r="B33" s="1005"/>
      <c r="C33" s="1005"/>
      <c r="D33" s="1005"/>
      <c r="E33" s="499"/>
      <c r="F33" s="499"/>
    </row>
    <row r="34" spans="1:6" ht="12" customHeight="1" x14ac:dyDescent="0.2">
      <c r="A34" s="512"/>
      <c r="B34" s="512"/>
      <c r="C34" s="512"/>
      <c r="D34" s="512"/>
      <c r="E34" s="499"/>
      <c r="F34" s="499"/>
    </row>
    <row r="35" spans="1:6" ht="12.95" customHeight="1" x14ac:dyDescent="0.2">
      <c r="A35" s="1032" t="s">
        <v>451</v>
      </c>
      <c r="B35" s="1032"/>
      <c r="C35" s="1032"/>
      <c r="D35" s="1032"/>
      <c r="E35" s="1032"/>
      <c r="F35" s="1032"/>
    </row>
    <row r="36" spans="1:6" ht="12.95" customHeight="1" x14ac:dyDescent="0.2">
      <c r="A36" s="1032"/>
      <c r="B36" s="1032"/>
      <c r="C36" s="1032"/>
      <c r="D36" s="1032"/>
      <c r="E36" s="1032"/>
      <c r="F36" s="1032"/>
    </row>
    <row r="37" spans="1:6" ht="12.95" customHeight="1" x14ac:dyDescent="0.2">
      <c r="A37" s="1032"/>
      <c r="B37" s="1032"/>
      <c r="C37" s="1032"/>
      <c r="D37" s="1032"/>
      <c r="E37" s="1032"/>
      <c r="F37" s="1032"/>
    </row>
    <row r="38" spans="1:6" ht="21.75" customHeight="1" x14ac:dyDescent="0.2">
      <c r="A38" s="1032"/>
      <c r="B38" s="1032"/>
      <c r="C38" s="1032"/>
      <c r="D38" s="1032"/>
      <c r="E38" s="1032"/>
      <c r="F38" s="1032"/>
    </row>
    <row r="39" spans="1:6" ht="15" customHeight="1" x14ac:dyDescent="0.2">
      <c r="A39" s="1033"/>
      <c r="B39" s="1033"/>
      <c r="C39" s="1034"/>
      <c r="D39" s="1034"/>
      <c r="E39" s="1034"/>
      <c r="F39" s="1034"/>
    </row>
    <row r="40" spans="1:6" ht="22.5" customHeight="1" x14ac:dyDescent="0.2">
      <c r="A40" s="1005" t="s">
        <v>455</v>
      </c>
      <c r="B40" s="1005"/>
      <c r="C40" s="1005"/>
      <c r="D40" s="1005"/>
      <c r="E40" s="1005"/>
      <c r="F40" s="1005"/>
    </row>
    <row r="41" spans="1:6" ht="27" customHeight="1" x14ac:dyDescent="0.2">
      <c r="A41" s="1027">
        <f>'DATOS '!H8</f>
        <v>0</v>
      </c>
      <c r="B41" s="1027"/>
      <c r="C41" s="1027">
        <f>'DATOS '!G8</f>
        <v>0</v>
      </c>
      <c r="D41" s="1027"/>
      <c r="E41" s="493"/>
      <c r="F41" s="554"/>
    </row>
    <row r="42" spans="1:6" ht="15" customHeight="1" x14ac:dyDescent="0.2">
      <c r="A42" s="502"/>
      <c r="B42" s="503"/>
      <c r="C42" s="500"/>
      <c r="D42" s="494"/>
      <c r="E42" s="494"/>
      <c r="F42" s="494"/>
    </row>
    <row r="43" spans="1:6" ht="36" customHeight="1" x14ac:dyDescent="0.2">
      <c r="A43" s="502"/>
      <c r="B43" s="503"/>
      <c r="C43" s="536"/>
      <c r="D43" s="1028" t="s">
        <v>460</v>
      </c>
      <c r="E43" s="1028" t="s">
        <v>2</v>
      </c>
      <c r="F43" s="544" t="e">
        <f>F2</f>
        <v>#N/A</v>
      </c>
    </row>
    <row r="44" spans="1:6" ht="20.100000000000001" customHeight="1" x14ac:dyDescent="0.2">
      <c r="A44" s="1005" t="s">
        <v>130</v>
      </c>
      <c r="B44" s="1005"/>
      <c r="C44" s="1005"/>
      <c r="D44" s="594" t="s">
        <v>446</v>
      </c>
      <c r="E44" s="519"/>
      <c r="F44" s="494"/>
    </row>
    <row r="45" spans="1:6" ht="15" customHeight="1" x14ac:dyDescent="0.2">
      <c r="C45" s="494"/>
      <c r="D45" s="494"/>
      <c r="E45" s="494"/>
      <c r="F45" s="494"/>
    </row>
    <row r="46" spans="1:6" ht="20.100000000000001" customHeight="1" x14ac:dyDescent="0.2">
      <c r="A46" s="1003" t="s">
        <v>340</v>
      </c>
      <c r="B46" s="1003"/>
      <c r="C46" s="1003"/>
      <c r="D46" s="1003"/>
      <c r="E46" s="494"/>
      <c r="F46" s="494"/>
    </row>
    <row r="47" spans="1:6" ht="15" customHeight="1" thickBot="1" x14ac:dyDescent="0.25">
      <c r="A47" s="504"/>
      <c r="B47" s="504"/>
      <c r="C47" s="504"/>
      <c r="D47" s="494"/>
      <c r="E47" s="494"/>
      <c r="F47" s="494"/>
    </row>
    <row r="48" spans="1:6" ht="33" customHeight="1" thickBot="1" x14ac:dyDescent="0.25">
      <c r="A48" s="555" t="s">
        <v>85</v>
      </c>
      <c r="B48" s="556" t="s">
        <v>86</v>
      </c>
      <c r="C48" s="556" t="s">
        <v>87</v>
      </c>
      <c r="D48" s="494"/>
      <c r="E48" s="494"/>
      <c r="F48" s="494"/>
    </row>
    <row r="49" spans="1:6" ht="20.100000000000001" customHeight="1" thickBot="1" x14ac:dyDescent="0.25">
      <c r="A49" s="557">
        <f>'RT03-F12'!E65</f>
        <v>-0.39119999999999999</v>
      </c>
      <c r="B49" s="558">
        <f>'RT03-F12'!G65</f>
        <v>-6.5754000000000001</v>
      </c>
      <c r="C49" s="558">
        <f>'RT03-F12'!I65</f>
        <v>-1.3937999999999999</v>
      </c>
      <c r="D49" s="494"/>
      <c r="E49" s="494"/>
      <c r="F49" s="494"/>
    </row>
    <row r="50" spans="1:6" ht="15" customHeight="1" x14ac:dyDescent="0.2">
      <c r="A50" s="1022" t="s">
        <v>456</v>
      </c>
      <c r="B50" s="1022"/>
      <c r="C50" s="1022"/>
      <c r="D50" s="1022"/>
      <c r="E50" s="1022"/>
      <c r="F50" s="1022"/>
    </row>
    <row r="51" spans="1:6" ht="26.25" customHeight="1" x14ac:dyDescent="0.2">
      <c r="A51" s="504"/>
      <c r="B51" s="504"/>
      <c r="C51" s="504"/>
      <c r="D51" s="494"/>
      <c r="E51" s="494"/>
      <c r="F51" s="494"/>
    </row>
    <row r="52" spans="1:6" ht="20.100000000000001" customHeight="1" x14ac:dyDescent="0.2">
      <c r="A52" s="1005" t="s">
        <v>127</v>
      </c>
      <c r="B52" s="1005"/>
      <c r="C52" s="1005"/>
      <c r="D52" s="1005"/>
      <c r="E52" s="1005"/>
      <c r="F52" s="504"/>
    </row>
    <row r="53" spans="1:6" ht="12" customHeight="1" thickBot="1" x14ac:dyDescent="0.25">
      <c r="A53" s="501"/>
      <c r="B53" s="501"/>
      <c r="C53" s="501"/>
      <c r="D53" s="501"/>
      <c r="E53" s="504"/>
      <c r="F53" s="504"/>
    </row>
    <row r="54" spans="1:6" ht="15" customHeight="1" thickBot="1" x14ac:dyDescent="0.25">
      <c r="A54" s="1023" t="s">
        <v>138</v>
      </c>
      <c r="B54" s="1024"/>
      <c r="C54" s="559" t="e">
        <f>'RT03-F12'!I12</f>
        <v>#N/A</v>
      </c>
      <c r="D54" s="494"/>
      <c r="E54" s="494"/>
      <c r="F54" s="494"/>
    </row>
    <row r="55" spans="1:6" ht="15" customHeight="1" thickBot="1" x14ac:dyDescent="0.25">
      <c r="A55" s="1029" t="s">
        <v>88</v>
      </c>
      <c r="B55" s="1030"/>
      <c r="C55" s="560" t="e">
        <f>'RT03-F12'!I13</f>
        <v>#N/A</v>
      </c>
      <c r="D55" s="494"/>
      <c r="E55" s="494"/>
      <c r="F55" s="494"/>
    </row>
    <row r="56" spans="1:6" ht="15" customHeight="1" thickBot="1" x14ac:dyDescent="0.25">
      <c r="A56" s="1025" t="s">
        <v>137</v>
      </c>
      <c r="B56" s="1026"/>
      <c r="C56" s="561" t="e">
        <f>'RT03-F12'!I14</f>
        <v>#N/A</v>
      </c>
      <c r="D56" s="494"/>
      <c r="E56" s="494"/>
      <c r="F56" s="494"/>
    </row>
    <row r="57" spans="1:6" ht="15" customHeight="1" x14ac:dyDescent="0.2">
      <c r="A57" s="499"/>
      <c r="B57" s="505"/>
      <c r="C57" s="494"/>
      <c r="D57" s="494"/>
      <c r="E57" s="494"/>
      <c r="F57" s="494"/>
    </row>
    <row r="58" spans="1:6" ht="20.100000000000001" customHeight="1" x14ac:dyDescent="0.2">
      <c r="A58" s="1005" t="s">
        <v>128</v>
      </c>
      <c r="B58" s="1005"/>
      <c r="C58" s="1005"/>
      <c r="D58" s="1005"/>
      <c r="E58" s="504"/>
      <c r="F58" s="504"/>
    </row>
    <row r="59" spans="1:6" ht="12" customHeight="1" x14ac:dyDescent="0.2">
      <c r="A59" s="504"/>
      <c r="B59" s="504"/>
      <c r="C59" s="504"/>
      <c r="D59" s="504"/>
      <c r="E59" s="504"/>
      <c r="F59" s="504"/>
    </row>
    <row r="60" spans="1:6" ht="15" customHeight="1" x14ac:dyDescent="0.2">
      <c r="A60" s="1005" t="s">
        <v>91</v>
      </c>
      <c r="B60" s="1005"/>
      <c r="D60" s="504"/>
      <c r="E60" s="504"/>
      <c r="F60" s="504"/>
    </row>
    <row r="61" spans="1:6" ht="15" customHeight="1" thickBot="1" x14ac:dyDescent="0.25">
      <c r="A61" s="504"/>
      <c r="B61" s="504"/>
      <c r="C61" s="504"/>
      <c r="D61" s="494"/>
      <c r="E61" s="494"/>
      <c r="F61" s="494"/>
    </row>
    <row r="62" spans="1:6" ht="15" customHeight="1" thickBot="1" x14ac:dyDescent="0.25">
      <c r="A62" s="1015" t="s">
        <v>443</v>
      </c>
      <c r="B62" s="1016"/>
      <c r="C62" s="1017"/>
      <c r="D62" s="504"/>
      <c r="E62" s="504"/>
      <c r="F62" s="504"/>
    </row>
    <row r="63" spans="1:6" ht="15" customHeight="1" thickBot="1" x14ac:dyDescent="0.25">
      <c r="A63" s="562" t="str">
        <f>'RT03-F12'!C34</f>
        <v>Carga</v>
      </c>
      <c r="B63" s="563">
        <f>'RT03-F12'!E34</f>
        <v>0</v>
      </c>
      <c r="C63" s="564" t="str">
        <f>'RT03-F12'!D34</f>
        <v>(g)</v>
      </c>
      <c r="D63" s="504"/>
      <c r="E63" s="506" t="s">
        <v>90</v>
      </c>
      <c r="F63" s="504"/>
    </row>
    <row r="64" spans="1:6" ht="15" customHeight="1" thickBot="1" x14ac:dyDescent="0.25">
      <c r="A64" s="562" t="str">
        <f>'RT03-F12'!B35</f>
        <v>Posición</v>
      </c>
      <c r="B64" s="564" t="str">
        <f>'RT03-F12'!B36</f>
        <v>Indicación (g)</v>
      </c>
      <c r="C64" s="565" t="s">
        <v>151</v>
      </c>
      <c r="D64" s="504"/>
      <c r="E64" s="504"/>
      <c r="F64" s="504"/>
    </row>
    <row r="65" spans="1:6" ht="20.100000000000001" customHeight="1" x14ac:dyDescent="0.2">
      <c r="A65" s="566">
        <f>'RT03-F12'!C35</f>
        <v>1</v>
      </c>
      <c r="B65" s="567">
        <f>'RT03-F12'!C36</f>
        <v>0</v>
      </c>
      <c r="C65" s="568">
        <f>'RT03-F12'!C37</f>
        <v>0</v>
      </c>
      <c r="D65" s="504"/>
      <c r="F65" s="504"/>
    </row>
    <row r="66" spans="1:6" ht="20.100000000000001" customHeight="1" x14ac:dyDescent="0.2">
      <c r="A66" s="566">
        <f>'RT03-F12'!D35</f>
        <v>2</v>
      </c>
      <c r="B66" s="569">
        <f>'RT03-F12'!D36</f>
        <v>0</v>
      </c>
      <c r="C66" s="569">
        <f>'RT03-F12'!D37</f>
        <v>0</v>
      </c>
      <c r="D66" s="504"/>
      <c r="E66" s="504"/>
      <c r="F66" s="504"/>
    </row>
    <row r="67" spans="1:6" ht="20.100000000000001" customHeight="1" x14ac:dyDescent="0.2">
      <c r="A67" s="570">
        <f>'RT03-F12'!E35</f>
        <v>3</v>
      </c>
      <c r="B67" s="569">
        <f>'RT03-F12'!E36</f>
        <v>0</v>
      </c>
      <c r="C67" s="569">
        <f>'RT03-F12'!E37</f>
        <v>0</v>
      </c>
      <c r="D67" s="504"/>
      <c r="E67" s="504"/>
      <c r="F67" s="504"/>
    </row>
    <row r="68" spans="1:6" ht="20.100000000000001" customHeight="1" x14ac:dyDescent="0.2">
      <c r="A68" s="570">
        <f>'RT03-F12'!F35</f>
        <v>4</v>
      </c>
      <c r="B68" s="569">
        <f>'RT03-F12'!F36</f>
        <v>0</v>
      </c>
      <c r="C68" s="569">
        <f>'RT03-F12'!F37</f>
        <v>0</v>
      </c>
      <c r="D68" s="504"/>
      <c r="E68" s="504"/>
      <c r="F68" s="504"/>
    </row>
    <row r="69" spans="1:6" ht="20.100000000000001" customHeight="1" x14ac:dyDescent="0.2">
      <c r="A69" s="570">
        <f>'RT03-F12'!G35</f>
        <v>5</v>
      </c>
      <c r="B69" s="569">
        <f>'RT03-F12'!G36</f>
        <v>0</v>
      </c>
      <c r="C69" s="569">
        <f>'RT03-F12'!G37</f>
        <v>0</v>
      </c>
      <c r="D69" s="504"/>
      <c r="E69" s="504"/>
      <c r="F69" s="504"/>
    </row>
    <row r="70" spans="1:6" ht="20.100000000000001" customHeight="1" x14ac:dyDescent="0.2">
      <c r="A70" s="571" t="str">
        <f>'[4]PRUEBAS DE CALIBRACION'!F18</f>
        <v>DIF MAX EXC</v>
      </c>
      <c r="B70" s="569">
        <f>'RT03-F12'!C39</f>
        <v>0</v>
      </c>
      <c r="C70" s="572" t="s">
        <v>129</v>
      </c>
      <c r="D70" s="504"/>
      <c r="E70" s="504"/>
      <c r="F70" s="504"/>
    </row>
    <row r="71" spans="1:6" ht="15" customHeight="1" x14ac:dyDescent="0.2">
      <c r="A71" s="500"/>
      <c r="B71" s="507"/>
      <c r="C71" s="503"/>
      <c r="D71" s="504"/>
      <c r="E71" s="504"/>
      <c r="F71" s="504"/>
    </row>
    <row r="72" spans="1:6" ht="15" customHeight="1" x14ac:dyDescent="0.2">
      <c r="A72" s="1011" t="s">
        <v>457</v>
      </c>
      <c r="B72" s="1011"/>
      <c r="C72" s="1011"/>
      <c r="D72" s="1011"/>
      <c r="E72" s="1011"/>
      <c r="F72" s="1011"/>
    </row>
    <row r="73" spans="1:6" ht="15" customHeight="1" x14ac:dyDescent="0.2">
      <c r="A73" s="1011"/>
      <c r="B73" s="1011"/>
      <c r="C73" s="1011"/>
      <c r="D73" s="1011"/>
      <c r="E73" s="1011"/>
      <c r="F73" s="1011"/>
    </row>
    <row r="74" spans="1:6" ht="15" customHeight="1" x14ac:dyDescent="0.2">
      <c r="A74" s="1011"/>
      <c r="B74" s="1011"/>
      <c r="C74" s="1011"/>
      <c r="D74" s="1011"/>
      <c r="E74" s="1011"/>
      <c r="F74" s="1011"/>
    </row>
    <row r="75" spans="1:6" ht="15" customHeight="1" x14ac:dyDescent="0.2">
      <c r="A75" s="508"/>
      <c r="B75" s="508"/>
      <c r="C75" s="508"/>
      <c r="D75" s="508"/>
      <c r="E75" s="508"/>
      <c r="F75" s="508"/>
    </row>
    <row r="76" spans="1:6" ht="15" customHeight="1" x14ac:dyDescent="0.2">
      <c r="D76" s="1007" t="s">
        <v>460</v>
      </c>
      <c r="E76" s="1007"/>
      <c r="F76" s="547" t="e">
        <f>F2</f>
        <v>#N/A</v>
      </c>
    </row>
    <row r="77" spans="1:6" ht="15" customHeight="1" x14ac:dyDescent="0.2">
      <c r="A77" s="1005" t="s">
        <v>93</v>
      </c>
      <c r="B77" s="1005"/>
      <c r="E77" s="500"/>
      <c r="F77" s="500"/>
    </row>
    <row r="78" spans="1:6" ht="15" customHeight="1" thickBot="1" x14ac:dyDescent="0.25">
      <c r="E78" s="500"/>
    </row>
    <row r="79" spans="1:6" ht="15" customHeight="1" thickBot="1" x14ac:dyDescent="0.25">
      <c r="A79" s="1018" t="s">
        <v>444</v>
      </c>
      <c r="B79" s="1019"/>
      <c r="C79" s="1019"/>
      <c r="D79" s="1020"/>
      <c r="E79" s="500"/>
      <c r="F79" s="500"/>
    </row>
    <row r="80" spans="1:6" ht="20.100000000000001" customHeight="1" thickBot="1" x14ac:dyDescent="0.25">
      <c r="A80" s="580" t="str">
        <f>'RT03-F12'!A43</f>
        <v>Cargas (g)</v>
      </c>
      <c r="B80" s="581">
        <f>'RT03-F12'!A44</f>
        <v>0</v>
      </c>
      <c r="C80" s="581">
        <f>'RT03-F12'!A45</f>
        <v>0</v>
      </c>
      <c r="D80" s="581">
        <f>'RT03-F12'!A46</f>
        <v>0</v>
      </c>
      <c r="E80" s="500"/>
      <c r="F80" s="500"/>
    </row>
    <row r="81" spans="1:6" ht="23.25" customHeight="1" thickBot="1" x14ac:dyDescent="0.25">
      <c r="A81" s="582" t="s">
        <v>458</v>
      </c>
      <c r="B81" s="582" t="s">
        <v>92</v>
      </c>
      <c r="C81" s="582" t="s">
        <v>92</v>
      </c>
      <c r="D81" s="582" t="s">
        <v>92</v>
      </c>
      <c r="E81" s="500"/>
      <c r="F81" s="500"/>
    </row>
    <row r="82" spans="1:6" ht="20.100000000000001" customHeight="1" x14ac:dyDescent="0.2">
      <c r="A82" s="566">
        <f>'RT03-F12'!B43</f>
        <v>1</v>
      </c>
      <c r="B82" s="568">
        <f>'RT03-F12'!B44</f>
        <v>0</v>
      </c>
      <c r="C82" s="568">
        <f>'RT03-F12'!B45</f>
        <v>0</v>
      </c>
      <c r="D82" s="568">
        <f>'RT03-F12'!B46</f>
        <v>0</v>
      </c>
      <c r="E82" s="500"/>
      <c r="F82" s="500"/>
    </row>
    <row r="83" spans="1:6" ht="20.100000000000001" customHeight="1" x14ac:dyDescent="0.2">
      <c r="A83" s="566">
        <f>'RT03-F12'!C43</f>
        <v>2</v>
      </c>
      <c r="B83" s="569">
        <f>'RT03-F12'!C44</f>
        <v>0</v>
      </c>
      <c r="C83" s="569">
        <f>'RT03-F12'!C45</f>
        <v>0</v>
      </c>
      <c r="D83" s="569">
        <f>'RT03-F12'!C46</f>
        <v>0</v>
      </c>
      <c r="E83" s="500"/>
      <c r="F83" s="500"/>
    </row>
    <row r="84" spans="1:6" ht="20.100000000000001" customHeight="1" x14ac:dyDescent="0.2">
      <c r="A84" s="566">
        <f>'RT03-F12'!D43</f>
        <v>3</v>
      </c>
      <c r="B84" s="569">
        <f>'RT03-F12'!D44</f>
        <v>0</v>
      </c>
      <c r="C84" s="569">
        <f>'RT03-F12'!D45</f>
        <v>0</v>
      </c>
      <c r="D84" s="569">
        <f>'RT03-F12'!D46</f>
        <v>0</v>
      </c>
      <c r="E84" s="500"/>
      <c r="F84" s="500"/>
    </row>
    <row r="85" spans="1:6" ht="20.100000000000001" customHeight="1" x14ac:dyDescent="0.2">
      <c r="A85" s="566">
        <f>'RT03-F12'!E43</f>
        <v>4</v>
      </c>
      <c r="B85" s="569">
        <f>'RT03-F12'!E44</f>
        <v>0</v>
      </c>
      <c r="C85" s="569">
        <f>'RT03-F12'!E45</f>
        <v>0</v>
      </c>
      <c r="D85" s="569">
        <f>'RT03-F12'!E46</f>
        <v>0</v>
      </c>
      <c r="E85" s="500"/>
      <c r="F85" s="500"/>
    </row>
    <row r="86" spans="1:6" ht="20.100000000000001" customHeight="1" x14ac:dyDescent="0.2">
      <c r="A86" s="566">
        <f>'RT03-F12'!F43</f>
        <v>5</v>
      </c>
      <c r="B86" s="569">
        <f>'RT03-F12'!F44</f>
        <v>0</v>
      </c>
      <c r="C86" s="569">
        <f>'RT03-F12'!F45</f>
        <v>0</v>
      </c>
      <c r="D86" s="569">
        <f>'RT03-F12'!F46</f>
        <v>0</v>
      </c>
      <c r="E86" s="500"/>
      <c r="F86" s="500"/>
    </row>
    <row r="87" spans="1:6" ht="20.100000000000001" customHeight="1" x14ac:dyDescent="0.2">
      <c r="A87" s="566">
        <f>'RT03-F12'!G43</f>
        <v>6</v>
      </c>
      <c r="B87" s="569">
        <f>'RT03-F12'!G44</f>
        <v>0</v>
      </c>
      <c r="C87" s="569">
        <f>'RT03-F12'!G45</f>
        <v>0</v>
      </c>
      <c r="D87" s="569">
        <f>'RT03-F12'!G46</f>
        <v>0</v>
      </c>
      <c r="E87" s="500"/>
      <c r="F87" s="500"/>
    </row>
    <row r="88" spans="1:6" ht="20.100000000000001" customHeight="1" x14ac:dyDescent="0.2">
      <c r="A88" s="566">
        <f>'RT03-F12'!H43</f>
        <v>7</v>
      </c>
      <c r="B88" s="569">
        <f>'RT03-F12'!H44</f>
        <v>0</v>
      </c>
      <c r="C88" s="569">
        <f>'RT03-F12'!H45</f>
        <v>0</v>
      </c>
      <c r="D88" s="569">
        <f>'RT03-F12'!H46</f>
        <v>0</v>
      </c>
      <c r="E88" s="500"/>
      <c r="F88" s="500"/>
    </row>
    <row r="89" spans="1:6" ht="20.100000000000001" customHeight="1" x14ac:dyDescent="0.2">
      <c r="A89" s="566">
        <f>'RT03-F12'!I43</f>
        <v>8</v>
      </c>
      <c r="B89" s="569">
        <f>'RT03-F12'!I44</f>
        <v>0</v>
      </c>
      <c r="C89" s="569">
        <f>'RT03-F12'!I45</f>
        <v>0</v>
      </c>
      <c r="D89" s="569">
        <f>'RT03-F12'!I46</f>
        <v>0</v>
      </c>
      <c r="E89" s="500"/>
      <c r="F89" s="500"/>
    </row>
    <row r="90" spans="1:6" ht="20.100000000000001" customHeight="1" x14ac:dyDescent="0.2">
      <c r="A90" s="566">
        <f>'RT03-F12'!J43</f>
        <v>9</v>
      </c>
      <c r="B90" s="569">
        <f>'RT03-F12'!J44</f>
        <v>0</v>
      </c>
      <c r="C90" s="569">
        <f>'RT03-F12'!J45</f>
        <v>0</v>
      </c>
      <c r="D90" s="569">
        <f>'RT03-F12'!J46</f>
        <v>0</v>
      </c>
      <c r="E90" s="500"/>
      <c r="F90" s="500"/>
    </row>
    <row r="91" spans="1:6" ht="20.100000000000001" customHeight="1" x14ac:dyDescent="0.2">
      <c r="A91" s="566">
        <f>'RT03-F12'!K43</f>
        <v>10</v>
      </c>
      <c r="B91" s="569">
        <f>'RT03-F12'!K44</f>
        <v>0</v>
      </c>
      <c r="C91" s="569">
        <f>'RT03-F12'!K45</f>
        <v>0</v>
      </c>
      <c r="D91" s="569">
        <f>'RT03-F12'!K46</f>
        <v>0</v>
      </c>
      <c r="E91" s="504"/>
      <c r="F91" s="504"/>
    </row>
    <row r="92" spans="1:6" ht="15" customHeight="1" x14ac:dyDescent="0.2">
      <c r="A92" s="494"/>
      <c r="B92" s="494"/>
      <c r="C92" s="494"/>
      <c r="D92" s="504"/>
      <c r="E92" s="504"/>
      <c r="F92" s="504"/>
    </row>
    <row r="93" spans="1:6" ht="15" customHeight="1" x14ac:dyDescent="0.2">
      <c r="A93" s="1021" t="s">
        <v>441</v>
      </c>
      <c r="B93" s="1021"/>
      <c r="C93" s="1021"/>
      <c r="D93" s="1021"/>
      <c r="E93" s="1021"/>
      <c r="F93" s="1021"/>
    </row>
    <row r="94" spans="1:6" ht="15" customHeight="1" x14ac:dyDescent="0.2">
      <c r="A94" s="1021"/>
      <c r="B94" s="1021"/>
      <c r="C94" s="1021"/>
      <c r="D94" s="1021"/>
      <c r="E94" s="1021"/>
      <c r="F94" s="1021"/>
    </row>
    <row r="95" spans="1:6" ht="15" customHeight="1" x14ac:dyDescent="0.2">
      <c r="A95" s="1021"/>
      <c r="B95" s="1021"/>
      <c r="C95" s="1021"/>
      <c r="D95" s="1021"/>
      <c r="E95" s="1021"/>
      <c r="F95" s="1021"/>
    </row>
    <row r="96" spans="1:6" ht="15" customHeight="1" x14ac:dyDescent="0.2">
      <c r="A96" s="1021"/>
      <c r="B96" s="1021"/>
      <c r="C96" s="1021"/>
      <c r="D96" s="1021"/>
      <c r="E96" s="1021"/>
      <c r="F96" s="1021"/>
    </row>
    <row r="97" spans="1:6" ht="15" customHeight="1" x14ac:dyDescent="0.2">
      <c r="E97" s="504"/>
      <c r="F97" s="504"/>
    </row>
    <row r="98" spans="1:6" ht="15" customHeight="1" x14ac:dyDescent="0.2">
      <c r="A98" s="1005" t="s">
        <v>445</v>
      </c>
      <c r="B98" s="1005"/>
      <c r="C98" s="1005"/>
      <c r="D98" s="1005"/>
      <c r="E98" s="494"/>
      <c r="F98" s="494"/>
    </row>
    <row r="99" spans="1:6" ht="15" customHeight="1" thickBot="1" x14ac:dyDescent="0.25"/>
    <row r="100" spans="1:6" ht="15" customHeight="1" thickBot="1" x14ac:dyDescent="0.25">
      <c r="A100" s="1012" t="s">
        <v>440</v>
      </c>
      <c r="B100" s="1013"/>
      <c r="C100" s="1014"/>
      <c r="D100" s="494"/>
      <c r="E100" s="494"/>
      <c r="F100" s="494"/>
    </row>
    <row r="101" spans="1:6" ht="29.25" customHeight="1" thickBot="1" x14ac:dyDescent="0.25">
      <c r="A101" s="583" t="s">
        <v>18</v>
      </c>
      <c r="B101" s="584" t="s">
        <v>154</v>
      </c>
      <c r="C101" s="573" t="s">
        <v>382</v>
      </c>
      <c r="D101" s="494"/>
      <c r="E101" s="494"/>
      <c r="F101" s="494"/>
    </row>
    <row r="102" spans="1:6" ht="19.5" customHeight="1" x14ac:dyDescent="0.2">
      <c r="A102" s="574" t="e">
        <f>'RT03-F12'!B55</f>
        <v>#N/A</v>
      </c>
      <c r="B102" s="575">
        <f>'RT03-F12'!C55</f>
        <v>0</v>
      </c>
      <c r="C102" s="576" t="e">
        <f>'RT03-F12'!D55</f>
        <v>#N/A</v>
      </c>
      <c r="D102" s="494"/>
      <c r="E102" s="494"/>
      <c r="F102" s="494"/>
    </row>
    <row r="103" spans="1:6" ht="20.100000000000001" customHeight="1" x14ac:dyDescent="0.2">
      <c r="A103" s="577" t="e">
        <f>'RT03-F12'!B56</f>
        <v>#N/A</v>
      </c>
      <c r="B103" s="578">
        <f>'RT03-F12'!C56</f>
        <v>0</v>
      </c>
      <c r="C103" s="576" t="e">
        <f>'RT03-F12'!D56</f>
        <v>#N/A</v>
      </c>
      <c r="D103" s="494"/>
      <c r="E103" s="494"/>
      <c r="F103" s="494"/>
    </row>
    <row r="104" spans="1:6" ht="20.100000000000001" customHeight="1" x14ac:dyDescent="0.2">
      <c r="A104" s="577" t="e">
        <f>'RT03-F12'!B57</f>
        <v>#N/A</v>
      </c>
      <c r="B104" s="578">
        <f>'RT03-F12'!C57</f>
        <v>0</v>
      </c>
      <c r="C104" s="576" t="e">
        <f>'RT03-F12'!D57</f>
        <v>#N/A</v>
      </c>
      <c r="D104" s="494"/>
      <c r="E104" s="494"/>
      <c r="F104" s="494"/>
    </row>
    <row r="105" spans="1:6" ht="20.100000000000001" customHeight="1" x14ac:dyDescent="0.2">
      <c r="A105" s="577" t="e">
        <f>'RT03-F12'!B58</f>
        <v>#N/A</v>
      </c>
      <c r="B105" s="578">
        <f>'RT03-F12'!C58</f>
        <v>0</v>
      </c>
      <c r="C105" s="579" t="e">
        <f>'RT03-F12'!D58</f>
        <v>#N/A</v>
      </c>
      <c r="D105" s="494"/>
      <c r="E105" s="494"/>
      <c r="F105" s="494"/>
    </row>
    <row r="106" spans="1:6" ht="20.100000000000001" customHeight="1" x14ac:dyDescent="0.2">
      <c r="A106" s="577" t="e">
        <f>'RT03-F12'!B59</f>
        <v>#N/A</v>
      </c>
      <c r="B106" s="578">
        <f>'RT03-F12'!C59</f>
        <v>0</v>
      </c>
      <c r="C106" s="579" t="e">
        <f>'RT03-F12'!D59</f>
        <v>#N/A</v>
      </c>
      <c r="D106" s="494"/>
      <c r="E106" s="494"/>
      <c r="F106" s="494"/>
    </row>
    <row r="107" spans="1:6" ht="15.95" customHeight="1" x14ac:dyDescent="0.2">
      <c r="A107" s="509"/>
      <c r="B107" s="509"/>
      <c r="C107" s="509"/>
      <c r="D107" s="494"/>
      <c r="E107" s="494"/>
      <c r="F107" s="509"/>
    </row>
    <row r="108" spans="1:6" ht="15.95" customHeight="1" thickBot="1" x14ac:dyDescent="0.25">
      <c r="A108" s="509"/>
      <c r="B108" s="509"/>
      <c r="C108" s="509"/>
      <c r="D108" s="1007" t="s">
        <v>2</v>
      </c>
      <c r="E108" s="1007"/>
      <c r="F108" s="539" t="e">
        <f>F2</f>
        <v>#N/A</v>
      </c>
    </row>
    <row r="109" spans="1:6" ht="15.95" customHeight="1" thickBot="1" x14ac:dyDescent="0.25">
      <c r="A109" s="1012" t="s">
        <v>442</v>
      </c>
      <c r="B109" s="1013"/>
      <c r="C109" s="1014"/>
    </row>
    <row r="110" spans="1:6" ht="15.95" customHeight="1" thickBot="1" x14ac:dyDescent="0.25">
      <c r="A110" s="590" t="str">
        <f>'RT03-F12'!B54</f>
        <v>Cargas (g)</v>
      </c>
      <c r="B110" s="582" t="s">
        <v>334</v>
      </c>
      <c r="C110" s="582" t="s">
        <v>333</v>
      </c>
      <c r="E110" s="537"/>
    </row>
    <row r="111" spans="1:6" ht="15.95" customHeight="1" x14ac:dyDescent="0.2">
      <c r="A111" s="585" t="e">
        <f>'RT03-F12'!B55</f>
        <v>#N/A</v>
      </c>
      <c r="B111" s="586" t="e">
        <f>'RT03-F12'!K55</f>
        <v>#DIV/0!</v>
      </c>
      <c r="C111" s="586" t="e">
        <f>'RT03-F12'!F105</f>
        <v>#DIV/0!</v>
      </c>
      <c r="E111" s="537"/>
    </row>
    <row r="112" spans="1:6" ht="15.95" customHeight="1" x14ac:dyDescent="0.2">
      <c r="A112" s="587" t="e">
        <f>'RT03-F12'!B56</f>
        <v>#N/A</v>
      </c>
      <c r="B112" s="586" t="e">
        <f>'RT03-F12'!K56</f>
        <v>#DIV/0!</v>
      </c>
      <c r="C112" s="586" t="e">
        <f>'RT03-F12'!G105</f>
        <v>#DIV/0!</v>
      </c>
      <c r="E112" s="537"/>
    </row>
    <row r="113" spans="1:6" ht="15.95" customHeight="1" x14ac:dyDescent="0.2">
      <c r="A113" s="588" t="e">
        <f>'RT03-F12'!B57</f>
        <v>#N/A</v>
      </c>
      <c r="B113" s="586" t="e">
        <f>'RT03-F12'!K57</f>
        <v>#DIV/0!</v>
      </c>
      <c r="C113" s="586" t="e">
        <f>'RT03-F12'!H105</f>
        <v>#DIV/0!</v>
      </c>
      <c r="E113" s="537"/>
    </row>
    <row r="114" spans="1:6" ht="15.95" customHeight="1" x14ac:dyDescent="0.2">
      <c r="A114" s="587" t="e">
        <f>'RT03-F12'!B58</f>
        <v>#N/A</v>
      </c>
      <c r="B114" s="589" t="e">
        <f>'RT03-F12'!K58</f>
        <v>#DIV/0!</v>
      </c>
      <c r="C114" s="589" t="e">
        <f>'RT03-F12'!I105</f>
        <v>#DIV/0!</v>
      </c>
      <c r="D114" s="500"/>
      <c r="E114" s="537"/>
      <c r="F114" s="500"/>
    </row>
    <row r="115" spans="1:6" ht="15.95" customHeight="1" x14ac:dyDescent="0.2">
      <c r="A115" s="588" t="e">
        <f>'RT03-F12'!B59</f>
        <v>#N/A</v>
      </c>
      <c r="B115" s="589" t="e">
        <f>'RT03-F12'!K59</f>
        <v>#DIV/0!</v>
      </c>
      <c r="C115" s="589" t="e">
        <f>'RT03-F12'!J105</f>
        <v>#DIV/0!</v>
      </c>
      <c r="D115" s="500"/>
      <c r="E115" s="537"/>
      <c r="F115" s="500"/>
    </row>
    <row r="116" spans="1:6" ht="15.95" customHeight="1" x14ac:dyDescent="0.2">
      <c r="A116" s="545"/>
      <c r="B116" s="546"/>
      <c r="C116" s="546"/>
      <c r="D116" s="500"/>
      <c r="E116" s="537"/>
      <c r="F116" s="500"/>
    </row>
    <row r="117" spans="1:6" ht="15.95" customHeight="1" x14ac:dyDescent="0.2">
      <c r="A117" s="510"/>
      <c r="B117" s="503"/>
      <c r="C117" s="503"/>
      <c r="D117" s="500"/>
      <c r="E117" s="537"/>
      <c r="F117" s="500"/>
    </row>
    <row r="118" spans="1:6" ht="15" customHeight="1" x14ac:dyDescent="0.2">
      <c r="A118" s="509"/>
      <c r="B118" s="503"/>
      <c r="C118" s="503"/>
      <c r="D118" s="494"/>
      <c r="E118" s="494"/>
      <c r="F118" s="494"/>
    </row>
    <row r="119" spans="1:6" ht="15" customHeight="1" x14ac:dyDescent="0.2">
      <c r="A119" s="500"/>
      <c r="B119" s="511"/>
      <c r="C119" s="500"/>
      <c r="D119" s="500"/>
      <c r="E119" s="500"/>
      <c r="F119" s="500"/>
    </row>
    <row r="120" spans="1:6" ht="15" customHeight="1" x14ac:dyDescent="0.2">
      <c r="A120" s="500"/>
      <c r="B120" s="500"/>
      <c r="C120" s="500"/>
      <c r="D120" s="500"/>
      <c r="E120" s="500"/>
      <c r="F120" s="500"/>
    </row>
    <row r="121" spans="1:6" ht="15" customHeight="1" x14ac:dyDescent="0.2">
      <c r="A121" s="500"/>
      <c r="B121" s="500"/>
      <c r="C121" s="500"/>
      <c r="D121" s="500"/>
      <c r="E121" s="500"/>
      <c r="F121" s="500"/>
    </row>
    <row r="122" spans="1:6" ht="15" customHeight="1" x14ac:dyDescent="0.2">
      <c r="A122" s="500"/>
      <c r="B122" s="500"/>
      <c r="C122" s="500"/>
      <c r="D122" s="500"/>
      <c r="E122" s="500"/>
      <c r="F122" s="500"/>
    </row>
    <row r="123" spans="1:6" ht="15" customHeight="1" x14ac:dyDescent="0.2">
      <c r="A123" s="500"/>
      <c r="B123" s="500"/>
      <c r="C123" s="500"/>
      <c r="D123" s="500"/>
      <c r="E123" s="500"/>
      <c r="F123" s="500"/>
    </row>
    <row r="124" spans="1:6" ht="15" customHeight="1" x14ac:dyDescent="0.2">
      <c r="A124" s="500"/>
      <c r="B124" s="500"/>
      <c r="C124" s="500"/>
      <c r="D124" s="500"/>
      <c r="E124" s="500"/>
      <c r="F124" s="500"/>
    </row>
    <row r="125" spans="1:6" ht="15" customHeight="1" x14ac:dyDescent="0.2">
      <c r="A125" s="500"/>
      <c r="B125" s="500"/>
      <c r="C125" s="500"/>
      <c r="D125" s="500"/>
      <c r="E125" s="500"/>
      <c r="F125" s="500"/>
    </row>
    <row r="126" spans="1:6" ht="15" customHeight="1" x14ac:dyDescent="0.2">
      <c r="A126" s="500"/>
      <c r="B126" s="500"/>
      <c r="C126" s="500"/>
      <c r="D126" s="500"/>
      <c r="E126" s="500"/>
      <c r="F126" s="500"/>
    </row>
    <row r="127" spans="1:6" ht="15" customHeight="1" x14ac:dyDescent="0.2">
      <c r="A127" s="500"/>
      <c r="B127" s="500"/>
      <c r="C127" s="500"/>
      <c r="D127" s="500"/>
      <c r="E127" s="500"/>
      <c r="F127" s="500"/>
    </row>
    <row r="128" spans="1:6" ht="15" customHeight="1" x14ac:dyDescent="0.2">
      <c r="A128" s="500"/>
      <c r="B128" s="500"/>
      <c r="C128" s="500"/>
      <c r="D128" s="500"/>
      <c r="E128" s="500"/>
      <c r="F128" s="500"/>
    </row>
    <row r="129" spans="1:6" ht="15" customHeight="1" x14ac:dyDescent="0.2">
      <c r="A129" s="500"/>
      <c r="B129" s="500"/>
      <c r="C129" s="500"/>
      <c r="D129" s="500"/>
      <c r="E129" s="500"/>
      <c r="F129" s="500"/>
    </row>
    <row r="130" spans="1:6" ht="15" customHeight="1" x14ac:dyDescent="0.2">
      <c r="A130" s="500"/>
      <c r="B130" s="500"/>
      <c r="C130" s="500"/>
      <c r="D130" s="500"/>
      <c r="E130" s="500"/>
      <c r="F130" s="500"/>
    </row>
    <row r="131" spans="1:6" ht="15" customHeight="1" x14ac:dyDescent="0.2">
      <c r="D131" s="494"/>
      <c r="E131" s="494"/>
      <c r="F131" s="494"/>
    </row>
    <row r="132" spans="1:6" ht="15" customHeight="1" x14ac:dyDescent="0.2">
      <c r="A132" s="494"/>
      <c r="B132" s="494"/>
      <c r="C132" s="494"/>
      <c r="D132" s="494"/>
      <c r="E132" s="494"/>
      <c r="F132" s="494"/>
    </row>
    <row r="133" spans="1:6" ht="15" customHeight="1" x14ac:dyDescent="0.2">
      <c r="A133" s="494"/>
      <c r="B133" s="494"/>
      <c r="C133" s="494"/>
      <c r="D133" s="494"/>
      <c r="E133" s="494"/>
      <c r="F133" s="494"/>
    </row>
    <row r="134" spans="1:6" ht="15" customHeight="1" x14ac:dyDescent="0.2">
      <c r="A134" s="494"/>
      <c r="B134" s="494"/>
      <c r="C134" s="494"/>
      <c r="D134" s="494"/>
      <c r="E134" s="494"/>
      <c r="F134" s="494"/>
    </row>
    <row r="135" spans="1:6" ht="15" customHeight="1" x14ac:dyDescent="0.2">
      <c r="A135" s="494"/>
      <c r="B135" s="494"/>
      <c r="C135" s="494"/>
      <c r="D135" s="494"/>
      <c r="E135" s="494"/>
      <c r="F135" s="494"/>
    </row>
    <row r="136" spans="1:6" ht="15" customHeight="1" x14ac:dyDescent="0.2">
      <c r="A136" s="1004" t="s">
        <v>381</v>
      </c>
      <c r="B136" s="1004"/>
      <c r="C136" s="1004"/>
      <c r="D136" s="1004"/>
      <c r="E136" s="1004"/>
      <c r="F136" s="1004"/>
    </row>
    <row r="137" spans="1:6" ht="15" customHeight="1" x14ac:dyDescent="0.2">
      <c r="A137" s="1004"/>
      <c r="B137" s="1004"/>
      <c r="C137" s="1004"/>
      <c r="D137" s="1004"/>
      <c r="E137" s="1004"/>
      <c r="F137" s="1004"/>
    </row>
    <row r="138" spans="1:6" ht="12" customHeight="1" x14ac:dyDescent="0.2">
      <c r="A138" s="508"/>
      <c r="B138" s="508"/>
      <c r="C138" s="508"/>
      <c r="D138" s="508"/>
      <c r="E138" s="508"/>
      <c r="F138" s="508"/>
    </row>
    <row r="139" spans="1:6" ht="20.100000000000001" customHeight="1" x14ac:dyDescent="0.2">
      <c r="A139" s="1005" t="s">
        <v>155</v>
      </c>
      <c r="B139" s="1005"/>
      <c r="C139" s="1005"/>
      <c r="D139" s="494"/>
      <c r="E139" s="494"/>
      <c r="F139" s="494"/>
    </row>
    <row r="140" spans="1:6" ht="12" customHeight="1" x14ac:dyDescent="0.2">
      <c r="A140" s="504"/>
      <c r="B140" s="504"/>
      <c r="C140" s="504"/>
      <c r="D140" s="494"/>
      <c r="E140" s="494"/>
      <c r="F140" s="494"/>
    </row>
    <row r="141" spans="1:6" ht="15" customHeight="1" x14ac:dyDescent="0.2">
      <c r="A141" s="1006" t="s">
        <v>65</v>
      </c>
      <c r="B141" s="1006"/>
      <c r="C141" s="1006"/>
      <c r="D141" s="1006"/>
      <c r="E141" s="1006"/>
      <c r="F141" s="1006"/>
    </row>
    <row r="142" spans="1:6" ht="15" customHeight="1" x14ac:dyDescent="0.2">
      <c r="A142" s="513"/>
      <c r="B142" s="513"/>
      <c r="C142" s="513"/>
      <c r="D142" s="513"/>
      <c r="E142" s="513"/>
      <c r="F142" s="513"/>
    </row>
    <row r="143" spans="1:6" ht="20.100000000000001" customHeight="1" x14ac:dyDescent="0.2">
      <c r="B143" s="493" t="s">
        <v>395</v>
      </c>
      <c r="C143" s="540" t="e">
        <f>'RT03-F12'!F137</f>
        <v>#DIV/0!</v>
      </c>
      <c r="D143" s="514" t="s">
        <v>71</v>
      </c>
      <c r="E143" s="493"/>
      <c r="F143" s="493"/>
    </row>
    <row r="144" spans="1:6" ht="15" customHeight="1" x14ac:dyDescent="0.2">
      <c r="A144" s="510"/>
      <c r="E144" s="500"/>
      <c r="F144" s="500"/>
    </row>
    <row r="145" spans="1:6" ht="15" customHeight="1" x14ac:dyDescent="0.2">
      <c r="A145" s="1003" t="s">
        <v>131</v>
      </c>
      <c r="B145" s="1003"/>
      <c r="C145" s="1003"/>
      <c r="D145" s="1003"/>
      <c r="E145" s="1003"/>
      <c r="F145" s="500"/>
    </row>
    <row r="146" spans="1:6" ht="36" customHeight="1" x14ac:dyDescent="0.2">
      <c r="B146" s="515" t="s">
        <v>118</v>
      </c>
      <c r="C146" s="516">
        <f>'RT03-F12'!H119</f>
        <v>2</v>
      </c>
      <c r="D146" s="517" t="s">
        <v>439</v>
      </c>
    </row>
    <row r="147" spans="1:6" ht="15" customHeight="1" x14ac:dyDescent="0.2">
      <c r="A147" s="513"/>
      <c r="B147" s="513"/>
      <c r="C147" s="513"/>
      <c r="D147" s="515"/>
      <c r="E147" s="518"/>
      <c r="F147" s="517"/>
    </row>
    <row r="148" spans="1:6" ht="15" customHeight="1" x14ac:dyDescent="0.2">
      <c r="A148" s="503" t="s">
        <v>333</v>
      </c>
      <c r="B148" s="503" t="e">
        <f>'RT03-F12'!F140</f>
        <v>#N/A</v>
      </c>
      <c r="C148" s="500" t="s">
        <v>447</v>
      </c>
      <c r="D148" s="520" t="e">
        <f>'RT03-F12'!H140</f>
        <v>#N/A</v>
      </c>
      <c r="E148" s="503" t="str">
        <f>D143</f>
        <v>R (g)</v>
      </c>
    </row>
    <row r="149" spans="1:6" ht="15" customHeight="1" x14ac:dyDescent="0.2">
      <c r="A149" s="500"/>
      <c r="B149" s="509"/>
      <c r="C149" s="519"/>
      <c r="D149" s="500"/>
      <c r="E149" s="520"/>
    </row>
    <row r="150" spans="1:6" ht="15" customHeight="1" x14ac:dyDescent="0.2">
      <c r="A150" s="500"/>
      <c r="B150" s="509"/>
      <c r="C150" s="519"/>
      <c r="D150" s="1007" t="s">
        <v>2</v>
      </c>
      <c r="E150" s="1007"/>
      <c r="F150" s="548" t="e">
        <f>F2</f>
        <v>#N/A</v>
      </c>
    </row>
    <row r="151" spans="1:6" ht="15" customHeight="1" x14ac:dyDescent="0.2">
      <c r="A151" s="500"/>
      <c r="B151" s="509"/>
      <c r="C151" s="519"/>
      <c r="D151" s="500"/>
      <c r="E151" s="520"/>
    </row>
    <row r="152" spans="1:6" ht="15" customHeight="1" x14ac:dyDescent="0.2">
      <c r="A152" s="1008" t="s">
        <v>94</v>
      </c>
      <c r="B152" s="1008"/>
      <c r="C152" s="1008"/>
      <c r="D152" s="1008"/>
      <c r="E152" s="1008"/>
      <c r="F152" s="1008"/>
    </row>
    <row r="153" spans="1:6" ht="15" customHeight="1" x14ac:dyDescent="0.2">
      <c r="A153" s="1008"/>
      <c r="B153" s="1008"/>
      <c r="C153" s="1008"/>
      <c r="D153" s="1008"/>
      <c r="E153" s="1008"/>
      <c r="F153" s="1008"/>
    </row>
    <row r="154" spans="1:6" ht="15" customHeight="1" x14ac:dyDescent="0.2">
      <c r="A154" s="519"/>
      <c r="B154" s="519"/>
      <c r="C154" s="519"/>
      <c r="D154" s="519"/>
      <c r="E154" s="519"/>
      <c r="F154" s="519"/>
    </row>
    <row r="155" spans="1:6" ht="15" customHeight="1" x14ac:dyDescent="0.2">
      <c r="A155" s="508"/>
      <c r="B155" s="508"/>
      <c r="C155" s="508"/>
      <c r="D155" s="508"/>
      <c r="E155" s="508"/>
      <c r="F155" s="508"/>
    </row>
    <row r="156" spans="1:6" ht="15" customHeight="1" x14ac:dyDescent="0.2">
      <c r="A156" s="508"/>
      <c r="B156" s="508"/>
      <c r="C156" s="508"/>
      <c r="D156" s="508"/>
      <c r="E156" s="508"/>
      <c r="F156" s="508"/>
    </row>
    <row r="157" spans="1:6" ht="15" customHeight="1" thickBot="1" x14ac:dyDescent="0.25">
      <c r="A157" s="508"/>
      <c r="B157" s="508"/>
      <c r="C157" s="508"/>
      <c r="D157" s="521"/>
      <c r="E157" s="521"/>
      <c r="F157" s="521"/>
    </row>
    <row r="158" spans="1:6" ht="15" customHeight="1" thickBot="1" x14ac:dyDescent="0.25">
      <c r="A158" s="541" t="s">
        <v>448</v>
      </c>
      <c r="B158" s="1009" t="s">
        <v>449</v>
      </c>
      <c r="C158" s="1010"/>
      <c r="D158" s="1010"/>
      <c r="E158" s="511"/>
      <c r="F158" s="499"/>
    </row>
    <row r="159" spans="1:6" ht="15" customHeight="1" thickBot="1" x14ac:dyDescent="0.25">
      <c r="A159" s="542" t="s">
        <v>95</v>
      </c>
      <c r="B159" s="1009" t="s">
        <v>96</v>
      </c>
      <c r="C159" s="1010"/>
      <c r="D159" s="1010"/>
      <c r="E159" s="499"/>
      <c r="F159" s="508"/>
    </row>
    <row r="160" spans="1:6" ht="15" customHeight="1" thickBot="1" x14ac:dyDescent="0.25">
      <c r="A160" s="543" t="s">
        <v>97</v>
      </c>
      <c r="B160" s="1009" t="s">
        <v>98</v>
      </c>
      <c r="C160" s="1010"/>
      <c r="D160" s="1010"/>
      <c r="E160" s="499"/>
      <c r="F160" s="499"/>
    </row>
    <row r="161" spans="1:6" ht="12" customHeight="1" x14ac:dyDescent="0.2">
      <c r="E161" s="499"/>
      <c r="F161" s="499"/>
    </row>
    <row r="162" spans="1:6" ht="20.100000000000001" customHeight="1" x14ac:dyDescent="0.2">
      <c r="A162" s="1005" t="s">
        <v>153</v>
      </c>
      <c r="B162" s="1005"/>
      <c r="C162" s="1005"/>
      <c r="D162" s="1005"/>
      <c r="F162" s="499"/>
    </row>
    <row r="163" spans="1:6" ht="12" customHeight="1" x14ac:dyDescent="0.2">
      <c r="D163" s="494"/>
      <c r="E163" s="494"/>
      <c r="F163" s="494"/>
    </row>
    <row r="164" spans="1:6" ht="15" customHeight="1" x14ac:dyDescent="0.2">
      <c r="A164" s="1011" t="s">
        <v>465</v>
      </c>
      <c r="B164" s="1011"/>
      <c r="C164" s="1011"/>
      <c r="D164" s="1011"/>
      <c r="E164" s="1011"/>
      <c r="F164" s="1011"/>
    </row>
    <row r="165" spans="1:6" ht="15" customHeight="1" x14ac:dyDescent="0.2">
      <c r="A165" s="1011"/>
      <c r="B165" s="1011"/>
      <c r="C165" s="1011"/>
      <c r="D165" s="1011"/>
      <c r="E165" s="1011"/>
      <c r="F165" s="1011"/>
    </row>
    <row r="166" spans="1:6" ht="18" customHeight="1" x14ac:dyDescent="0.2">
      <c r="A166" s="1011"/>
      <c r="B166" s="1011"/>
      <c r="C166" s="1011"/>
      <c r="D166" s="1011"/>
      <c r="E166" s="1011"/>
      <c r="F166" s="1011"/>
    </row>
    <row r="167" spans="1:6" ht="15" customHeight="1" x14ac:dyDescent="0.2">
      <c r="A167" s="522"/>
      <c r="B167" s="522"/>
      <c r="C167" s="522"/>
      <c r="D167" s="522"/>
      <c r="E167" s="522"/>
      <c r="F167" s="522"/>
    </row>
    <row r="168" spans="1:6" ht="20.100000000000001" customHeight="1" x14ac:dyDescent="0.2">
      <c r="A168" s="1003" t="s">
        <v>132</v>
      </c>
      <c r="B168" s="1003"/>
      <c r="C168" s="1003"/>
      <c r="D168" s="522"/>
      <c r="E168" s="522"/>
      <c r="F168" s="522"/>
    </row>
    <row r="169" spans="1:6" ht="24.95" customHeight="1" x14ac:dyDescent="0.2">
      <c r="A169" s="998" t="s">
        <v>450</v>
      </c>
      <c r="B169" s="998"/>
      <c r="C169" s="998"/>
      <c r="D169" s="998"/>
      <c r="E169" s="998"/>
      <c r="F169" s="998"/>
    </row>
    <row r="170" spans="1:6" ht="24.95" customHeight="1" x14ac:dyDescent="0.2">
      <c r="A170" s="998"/>
      <c r="B170" s="998"/>
      <c r="C170" s="998"/>
      <c r="D170" s="998"/>
      <c r="E170" s="998"/>
      <c r="F170" s="998"/>
    </row>
    <row r="171" spans="1:6" ht="24.95" customHeight="1" x14ac:dyDescent="0.2">
      <c r="A171" s="998"/>
      <c r="B171" s="998"/>
      <c r="C171" s="998"/>
      <c r="D171" s="998"/>
      <c r="E171" s="998"/>
      <c r="F171" s="998"/>
    </row>
    <row r="172" spans="1:6" ht="24.95" customHeight="1" x14ac:dyDescent="0.2">
      <c r="A172" s="998"/>
      <c r="B172" s="998"/>
      <c r="C172" s="998"/>
      <c r="D172" s="998"/>
      <c r="E172" s="998"/>
      <c r="F172" s="998"/>
    </row>
    <row r="173" spans="1:6" ht="24.95" customHeight="1" x14ac:dyDescent="0.2">
      <c r="A173" s="998"/>
      <c r="B173" s="998"/>
      <c r="C173" s="998"/>
      <c r="D173" s="998"/>
      <c r="E173" s="998"/>
      <c r="F173" s="998"/>
    </row>
    <row r="174" spans="1:6" ht="24.95" customHeight="1" x14ac:dyDescent="0.2">
      <c r="A174" s="998"/>
      <c r="B174" s="998"/>
      <c r="C174" s="998"/>
      <c r="D174" s="998"/>
      <c r="E174" s="998"/>
      <c r="F174" s="998"/>
    </row>
    <row r="175" spans="1:6" ht="20.100000000000001" customHeight="1" x14ac:dyDescent="0.2">
      <c r="A175" s="998"/>
      <c r="B175" s="998"/>
      <c r="C175" s="998"/>
      <c r="D175" s="998"/>
      <c r="E175" s="998"/>
      <c r="F175" s="998"/>
    </row>
    <row r="176" spans="1:6" ht="15" customHeight="1" x14ac:dyDescent="0.2">
      <c r="A176" s="998"/>
      <c r="B176" s="998"/>
      <c r="C176" s="998"/>
      <c r="D176" s="998"/>
      <c r="E176" s="998"/>
      <c r="F176" s="998"/>
    </row>
    <row r="177" spans="1:6" ht="27" customHeight="1" x14ac:dyDescent="0.2">
      <c r="A177" s="998"/>
      <c r="B177" s="998"/>
      <c r="C177" s="998"/>
      <c r="D177" s="998"/>
      <c r="E177" s="998"/>
      <c r="F177" s="998"/>
    </row>
    <row r="178" spans="1:6" ht="15" customHeight="1" x14ac:dyDescent="0.2">
      <c r="A178" s="998"/>
      <c r="B178" s="998"/>
      <c r="C178" s="998"/>
      <c r="D178" s="998"/>
      <c r="E178" s="998"/>
      <c r="F178" s="998"/>
    </row>
    <row r="179" spans="1:6" ht="15" customHeight="1" x14ac:dyDescent="0.2">
      <c r="A179" s="998"/>
      <c r="B179" s="998"/>
      <c r="C179" s="998"/>
      <c r="D179" s="998"/>
      <c r="E179" s="998"/>
      <c r="F179" s="998"/>
    </row>
    <row r="180" spans="1:6" ht="15" customHeight="1" x14ac:dyDescent="0.2">
      <c r="A180" s="998"/>
      <c r="B180" s="998"/>
      <c r="C180" s="998"/>
      <c r="D180" s="998"/>
      <c r="E180" s="998"/>
      <c r="F180" s="998"/>
    </row>
    <row r="181" spans="1:6" ht="15" customHeight="1" x14ac:dyDescent="0.2">
      <c r="A181" s="523"/>
      <c r="B181" s="523"/>
      <c r="C181" s="524"/>
      <c r="D181" s="494"/>
      <c r="E181" s="494"/>
      <c r="F181" s="494"/>
    </row>
    <row r="182" spans="1:6" ht="20.100000000000001" customHeight="1" x14ac:dyDescent="0.2">
      <c r="A182" s="999" t="s">
        <v>461</v>
      </c>
      <c r="B182" s="999"/>
      <c r="C182" s="999"/>
    </row>
    <row r="183" spans="1:6" ht="15" customHeight="1" x14ac:dyDescent="0.2">
      <c r="B183" s="525"/>
      <c r="C183" s="526"/>
    </row>
    <row r="184" spans="1:6" ht="15" customHeight="1" x14ac:dyDescent="0.2">
      <c r="A184" s="490" t="s">
        <v>99</v>
      </c>
      <c r="B184" s="490"/>
      <c r="C184" s="591"/>
      <c r="D184" s="1000" t="s">
        <v>133</v>
      </c>
      <c r="E184" s="1000"/>
      <c r="F184" s="1000"/>
    </row>
    <row r="185" spans="1:6" ht="15" customHeight="1" x14ac:dyDescent="0.2">
      <c r="A185" s="1001" t="s">
        <v>135</v>
      </c>
      <c r="B185" s="1001"/>
      <c r="C185" s="1001"/>
      <c r="D185" s="1002" t="s">
        <v>459</v>
      </c>
      <c r="E185" s="1002"/>
      <c r="F185" s="591"/>
    </row>
    <row r="186" spans="1:6" ht="20.25" customHeight="1" x14ac:dyDescent="0.2">
      <c r="A186" s="996" t="e">
        <f>VLOOKUP($C$184,'DATOS '!$D$158:$H$162,4,FALSE)</f>
        <v>#N/A</v>
      </c>
      <c r="B186" s="996"/>
      <c r="C186" s="996"/>
      <c r="D186" s="996" t="e">
        <f>VLOOKUP($F$185,'DATOS '!$D$158:$H$162,4,FALSE)</f>
        <v>#N/A</v>
      </c>
      <c r="E186" s="996"/>
      <c r="F186" s="996"/>
    </row>
    <row r="187" spans="1:6" ht="15" customHeight="1" x14ac:dyDescent="0.2">
      <c r="A187" s="996" t="e">
        <f>VLOOKUP($C$184,'DATOS '!$D$158:$H$162,2,FALSE)</f>
        <v>#N/A</v>
      </c>
      <c r="B187" s="996"/>
      <c r="C187" s="996"/>
      <c r="D187" s="996" t="e">
        <f>VLOOKUP($F$185,'DATOS '!$D$158:$H$162,2,FALSE)</f>
        <v>#N/A</v>
      </c>
      <c r="E187" s="996"/>
      <c r="F187" s="996"/>
    </row>
    <row r="189" spans="1:6" s="374" customFormat="1" ht="9.9499999999999993" customHeight="1" x14ac:dyDescent="0.25">
      <c r="B189" s="997" t="s">
        <v>136</v>
      </c>
      <c r="C189" s="997"/>
      <c r="D189" s="997"/>
      <c r="E189" s="997"/>
    </row>
    <row r="190" spans="1:6" ht="15" customHeight="1" x14ac:dyDescent="0.2">
      <c r="B190" s="527"/>
      <c r="C190" s="527"/>
      <c r="D190" s="527"/>
      <c r="E190" s="527"/>
    </row>
  </sheetData>
  <sheetProtection algorithmName="SHA-512" hashValue="MrYbuAjfB6go0Cd2Jy7h7HN1yTsi2I3uXlXDgkNbMFZeAijq/fDWTmFr5i/2Cz+eRAYhZltnPex4Q+ea1QFRnA==" saltValue="HjQk8/MpK+FN/D6F+ONveg==" spinCount="100000" sheet="1" objects="1" scenarios="1"/>
  <mergeCells count="79">
    <mergeCell ref="D2:E2"/>
    <mergeCell ref="A3:C3"/>
    <mergeCell ref="A5:B5"/>
    <mergeCell ref="C5:F5"/>
    <mergeCell ref="A6:B6"/>
    <mergeCell ref="C6:D6"/>
    <mergeCell ref="A20:B20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2:B12"/>
    <mergeCell ref="A15:B15"/>
    <mergeCell ref="D15:E15"/>
    <mergeCell ref="A17:C17"/>
    <mergeCell ref="A19:B19"/>
    <mergeCell ref="A21:B21"/>
    <mergeCell ref="A22:B22"/>
    <mergeCell ref="A24:B24"/>
    <mergeCell ref="C24:E24"/>
    <mergeCell ref="A26:C26"/>
    <mergeCell ref="A27:F27"/>
    <mergeCell ref="A31:F31"/>
    <mergeCell ref="A33:D33"/>
    <mergeCell ref="A35:F38"/>
    <mergeCell ref="A39:B39"/>
    <mergeCell ref="C39:F39"/>
    <mergeCell ref="A29:F29"/>
    <mergeCell ref="A56:B56"/>
    <mergeCell ref="A41:B41"/>
    <mergeCell ref="C41:D41"/>
    <mergeCell ref="D43:E43"/>
    <mergeCell ref="A44:C44"/>
    <mergeCell ref="A55:B55"/>
    <mergeCell ref="A40:F40"/>
    <mergeCell ref="A46:D46"/>
    <mergeCell ref="A50:F50"/>
    <mergeCell ref="A52:E52"/>
    <mergeCell ref="A54:B54"/>
    <mergeCell ref="A109:C109"/>
    <mergeCell ref="A58:D58"/>
    <mergeCell ref="A60:B60"/>
    <mergeCell ref="A62:C62"/>
    <mergeCell ref="A72:F74"/>
    <mergeCell ref="D76:E76"/>
    <mergeCell ref="A77:B77"/>
    <mergeCell ref="A79:D79"/>
    <mergeCell ref="A93:F96"/>
    <mergeCell ref="A98:D98"/>
    <mergeCell ref="A100:C100"/>
    <mergeCell ref="D108:E108"/>
    <mergeCell ref="A168:C168"/>
    <mergeCell ref="A136:F137"/>
    <mergeCell ref="A139:C139"/>
    <mergeCell ref="A141:F141"/>
    <mergeCell ref="A145:E145"/>
    <mergeCell ref="D150:E150"/>
    <mergeCell ref="A152:F153"/>
    <mergeCell ref="B158:D158"/>
    <mergeCell ref="B159:D159"/>
    <mergeCell ref="B160:D160"/>
    <mergeCell ref="A162:D162"/>
    <mergeCell ref="A164:F166"/>
    <mergeCell ref="A187:C187"/>
    <mergeCell ref="D187:F187"/>
    <mergeCell ref="B189:E189"/>
    <mergeCell ref="A169:F180"/>
    <mergeCell ref="A182:C182"/>
    <mergeCell ref="D184:F184"/>
    <mergeCell ref="A185:C185"/>
    <mergeCell ref="D185:E185"/>
    <mergeCell ref="A186:C186"/>
    <mergeCell ref="D186:F186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
&amp;"Arial Narrow,Negrita"&amp;14 CERTIFICADO DE CALIBRACIÓN 
DE  BALANZAS&amp;R&amp;"-,Negrita"&amp;12
             </oddHeader>
    <oddFooter>&amp;R&amp;8
  RT03-F15  Vr.4(2018-08-14)
&amp;P de &amp;[Páginas</oddFooter>
  </headerFooter>
  <rowBreaks count="4" manualBreakCount="4">
    <brk id="42" max="16383" man="1"/>
    <brk id="75" max="16383" man="1"/>
    <brk id="107" max="16383" man="1"/>
    <brk id="1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'!$D$158:$D$162</xm:f>
          </x14:formula1>
          <xm:sqref>F185</xm:sqref>
        </x14:dataValidation>
        <x14:dataValidation type="list" allowBlank="1" showInputMessage="1" showErrorMessage="1">
          <x14:formula1>
            <xm:f>'DATOS '!$D$158:$D$160</xm:f>
          </x14:formula1>
          <xm:sqref>C184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6"/>
  <sheetViews>
    <sheetView showGridLines="0" tabSelected="1" showRuler="0" showWhiteSpace="0" view="pageBreakPreview" topLeftCell="A163" zoomScale="130" zoomScaleNormal="110" zoomScaleSheetLayoutView="130" zoomScalePageLayoutView="85" workbookViewId="0">
      <selection activeCell="E189" sqref="E189"/>
    </sheetView>
  </sheetViews>
  <sheetFormatPr baseColWidth="10" defaultRowHeight="15" customHeight="1" x14ac:dyDescent="0.2"/>
  <cols>
    <col min="1" max="1" width="14.7109375" style="373" customWidth="1"/>
    <col min="2" max="2" width="14.5703125" style="373" customWidth="1"/>
    <col min="3" max="3" width="14.7109375" style="373" customWidth="1"/>
    <col min="4" max="4" width="15.85546875" style="373" customWidth="1"/>
    <col min="5" max="5" width="17" style="373" customWidth="1"/>
    <col min="6" max="6" width="16.28515625" style="373" customWidth="1"/>
    <col min="7" max="16384" width="11.42578125" style="373"/>
  </cols>
  <sheetData>
    <row r="1" spans="1:6" ht="65.099999999999994" customHeight="1" x14ac:dyDescent="0.2">
      <c r="A1" s="490"/>
      <c r="B1" s="490"/>
      <c r="C1" s="491"/>
      <c r="D1" s="491"/>
      <c r="E1" s="491"/>
      <c r="F1" s="491"/>
    </row>
    <row r="2" spans="1:6" ht="12" customHeight="1" x14ac:dyDescent="0.2">
      <c r="A2" s="492"/>
      <c r="B2" s="492"/>
      <c r="D2" s="1045" t="s">
        <v>452</v>
      </c>
      <c r="E2" s="1045"/>
      <c r="F2" s="535" t="e">
        <f>'RT03-F12'!I6</f>
        <v>#N/A</v>
      </c>
    </row>
    <row r="3" spans="1:6" ht="20.100000000000001" customHeight="1" x14ac:dyDescent="0.2">
      <c r="A3" s="1003" t="s">
        <v>77</v>
      </c>
      <c r="B3" s="1003"/>
      <c r="C3" s="1003"/>
    </row>
    <row r="4" spans="1:6" ht="12" customHeight="1" x14ac:dyDescent="0.2">
      <c r="A4" s="493"/>
      <c r="B4" s="494"/>
      <c r="C4" s="494"/>
      <c r="D4" s="494"/>
      <c r="E4" s="494"/>
      <c r="F4" s="494"/>
    </row>
    <row r="5" spans="1:6" ht="15" customHeight="1" x14ac:dyDescent="0.2">
      <c r="A5" s="1010" t="s">
        <v>430</v>
      </c>
      <c r="B5" s="1010"/>
      <c r="C5" s="1036" t="e">
        <f>'RT03-F12'!G6</f>
        <v>#N/A</v>
      </c>
      <c r="D5" s="1010"/>
      <c r="E5" s="1010"/>
      <c r="F5" s="1010"/>
    </row>
    <row r="6" spans="1:6" ht="15" customHeight="1" thickBot="1" x14ac:dyDescent="0.25">
      <c r="A6" s="1010" t="s">
        <v>78</v>
      </c>
      <c r="B6" s="1010"/>
      <c r="C6" s="1036" t="e">
        <f>'RT03-F12'!H6</f>
        <v>#N/A</v>
      </c>
      <c r="D6" s="1036"/>
      <c r="E6" s="549"/>
      <c r="F6" s="549"/>
    </row>
    <row r="7" spans="1:6" ht="15" customHeight="1" x14ac:dyDescent="0.2">
      <c r="A7" s="1010" t="s">
        <v>79</v>
      </c>
      <c r="B7" s="1010"/>
      <c r="C7" s="1049" t="s">
        <v>332</v>
      </c>
      <c r="D7" s="1031"/>
      <c r="E7" s="1037" t="s">
        <v>453</v>
      </c>
      <c r="F7" s="1050"/>
    </row>
    <row r="8" spans="1:6" ht="12" customHeight="1" x14ac:dyDescent="0.2">
      <c r="A8" s="1010"/>
      <c r="B8" s="1010"/>
      <c r="C8" s="495"/>
      <c r="D8" s="494"/>
      <c r="E8" s="1051"/>
      <c r="F8" s="1052"/>
    </row>
    <row r="9" spans="1:6" ht="15" customHeight="1" x14ac:dyDescent="0.2">
      <c r="A9" s="1010" t="s">
        <v>124</v>
      </c>
      <c r="B9" s="1010"/>
      <c r="C9" s="1031" t="s">
        <v>434</v>
      </c>
      <c r="D9" s="1031"/>
      <c r="E9" s="1051"/>
      <c r="F9" s="1052"/>
    </row>
    <row r="10" spans="1:6" ht="15" customHeight="1" x14ac:dyDescent="0.2">
      <c r="A10" s="1010" t="s">
        <v>81</v>
      </c>
      <c r="B10" s="1010"/>
      <c r="C10" s="1036">
        <f>'DATOS '!D17</f>
        <v>0</v>
      </c>
      <c r="D10" s="1010"/>
      <c r="E10" s="1051"/>
      <c r="F10" s="1052"/>
    </row>
    <row r="11" spans="1:6" ht="15" customHeight="1" x14ac:dyDescent="0.2">
      <c r="A11" s="1010" t="s">
        <v>9</v>
      </c>
      <c r="B11" s="1010"/>
      <c r="C11" s="1010">
        <f>'DATOS '!E17</f>
        <v>0</v>
      </c>
      <c r="D11" s="1010"/>
      <c r="E11" s="1051"/>
      <c r="F11" s="1052"/>
    </row>
    <row r="12" spans="1:6" ht="15" customHeight="1" x14ac:dyDescent="0.2">
      <c r="A12" s="1010" t="s">
        <v>82</v>
      </c>
      <c r="B12" s="1010"/>
      <c r="C12" s="514">
        <f>'DATOS '!F17</f>
        <v>0</v>
      </c>
      <c r="D12" s="494"/>
      <c r="E12" s="1051"/>
      <c r="F12" s="1052"/>
    </row>
    <row r="13" spans="1:6" ht="20.100000000000001" customHeight="1" thickBot="1" x14ac:dyDescent="0.25">
      <c r="A13" s="499"/>
      <c r="B13" s="499"/>
      <c r="C13" s="499"/>
      <c r="D13" s="494"/>
      <c r="E13" s="1053"/>
      <c r="F13" s="1054"/>
    </row>
    <row r="14" spans="1:6" ht="15" customHeight="1" x14ac:dyDescent="0.2">
      <c r="A14" s="496"/>
      <c r="B14" s="496"/>
      <c r="C14" s="496"/>
      <c r="D14" s="494"/>
      <c r="E14" s="497"/>
      <c r="F14" s="497"/>
    </row>
    <row r="15" spans="1:6" ht="12" customHeight="1" x14ac:dyDescent="0.2">
      <c r="A15" s="1010" t="s">
        <v>80</v>
      </c>
      <c r="B15" s="1010"/>
      <c r="C15" s="550" t="e">
        <f>'RT03-F12'!C6</f>
        <v>#N/A</v>
      </c>
      <c r="D15" s="1043" t="s">
        <v>83</v>
      </c>
      <c r="E15" s="1043"/>
      <c r="F15" s="550" t="e">
        <f>'RT03-F12'!F6</f>
        <v>#N/A</v>
      </c>
    </row>
    <row r="16" spans="1:6" ht="15" customHeight="1" x14ac:dyDescent="0.2">
      <c r="A16" s="496"/>
      <c r="B16" s="496"/>
      <c r="C16" s="498"/>
      <c r="D16" s="496"/>
      <c r="E16" s="496"/>
      <c r="F16" s="498"/>
    </row>
    <row r="17" spans="1:6" ht="20.100000000000001" customHeight="1" x14ac:dyDescent="0.2">
      <c r="A17" s="1003" t="s">
        <v>123</v>
      </c>
      <c r="B17" s="1003"/>
      <c r="C17" s="1003"/>
      <c r="D17" s="494"/>
      <c r="E17" s="494"/>
      <c r="F17" s="494"/>
    </row>
    <row r="18" spans="1:6" ht="12" customHeight="1" x14ac:dyDescent="0.2">
      <c r="A18" s="513"/>
      <c r="B18" s="513"/>
      <c r="C18" s="513"/>
      <c r="D18" s="494"/>
      <c r="E18" s="494"/>
      <c r="F18" s="494"/>
    </row>
    <row r="19" spans="1:6" ht="15" customHeight="1" x14ac:dyDescent="0.2">
      <c r="A19" s="1010" t="s">
        <v>119</v>
      </c>
      <c r="B19" s="1010"/>
      <c r="C19" s="552" t="e">
        <f>'RT03-F12'!D12</f>
        <v>#N/A</v>
      </c>
      <c r="D19" s="499" t="s">
        <v>89</v>
      </c>
      <c r="E19" s="499"/>
      <c r="F19" s="499"/>
    </row>
    <row r="20" spans="1:6" ht="15" customHeight="1" x14ac:dyDescent="0.2">
      <c r="A20" s="1010" t="s">
        <v>120</v>
      </c>
      <c r="B20" s="1010"/>
      <c r="C20" s="552" t="e">
        <f>'RT03-F12'!D13</f>
        <v>#N/A</v>
      </c>
      <c r="D20" s="499" t="s">
        <v>89</v>
      </c>
      <c r="E20" s="499"/>
      <c r="F20" s="499"/>
    </row>
    <row r="21" spans="1:6" ht="15" customHeight="1" x14ac:dyDescent="0.2">
      <c r="A21" s="1010" t="s">
        <v>121</v>
      </c>
      <c r="B21" s="1010"/>
      <c r="C21" s="553" t="e">
        <f>'RT03-F12'!D14</f>
        <v>#N/A</v>
      </c>
      <c r="D21" s="499" t="s">
        <v>89</v>
      </c>
      <c r="E21" s="499"/>
      <c r="F21" s="499"/>
    </row>
    <row r="22" spans="1:6" ht="15" customHeight="1" x14ac:dyDescent="0.2">
      <c r="A22" s="1010" t="s">
        <v>122</v>
      </c>
      <c r="B22" s="1010"/>
      <c r="C22" s="552" t="e">
        <f>'RT03-F12'!D15</f>
        <v>#N/A</v>
      </c>
      <c r="D22" s="499" t="s">
        <v>89</v>
      </c>
      <c r="E22" s="499"/>
      <c r="F22" s="499"/>
    </row>
    <row r="24" spans="1:6" ht="20.100000000000001" customHeight="1" x14ac:dyDescent="0.2">
      <c r="A24" s="1003" t="s">
        <v>396</v>
      </c>
      <c r="B24" s="1003"/>
      <c r="C24" s="1035" t="e">
        <f>'RT03-F12'!D6</f>
        <v>#N/A</v>
      </c>
      <c r="D24" s="1035"/>
      <c r="E24" s="1035"/>
      <c r="F24" s="494"/>
    </row>
    <row r="25" spans="1:6" ht="12" customHeight="1" x14ac:dyDescent="0.2">
      <c r="A25" s="499"/>
      <c r="B25" s="499"/>
      <c r="C25" s="499"/>
    </row>
    <row r="26" spans="1:6" ht="21.75" customHeight="1" x14ac:dyDescent="0.2">
      <c r="A26" s="1048" t="s">
        <v>454</v>
      </c>
      <c r="B26" s="1048"/>
      <c r="C26" s="1048"/>
    </row>
    <row r="27" spans="1:6" ht="21.75" customHeight="1" x14ac:dyDescent="0.2">
      <c r="A27" s="1047" t="s">
        <v>462</v>
      </c>
      <c r="B27" s="1047"/>
      <c r="C27" s="1047"/>
      <c r="D27" s="1047"/>
      <c r="E27" s="1047"/>
      <c r="F27" s="1047"/>
    </row>
    <row r="28" spans="1:6" ht="12" customHeight="1" x14ac:dyDescent="0.2"/>
    <row r="29" spans="1:6" ht="20.100000000000001" customHeight="1" x14ac:dyDescent="0.2">
      <c r="A29" s="1003" t="s">
        <v>125</v>
      </c>
      <c r="B29" s="1003"/>
      <c r="C29" s="1003"/>
      <c r="D29" s="1003"/>
      <c r="E29" s="494"/>
      <c r="F29" s="494"/>
    </row>
    <row r="30" spans="1:6" ht="12" customHeight="1" x14ac:dyDescent="0.2">
      <c r="A30" s="551"/>
      <c r="B30" s="551"/>
      <c r="C30" s="551"/>
      <c r="D30" s="500"/>
      <c r="E30" s="494"/>
      <c r="F30" s="494"/>
    </row>
    <row r="31" spans="1:6" ht="15" customHeight="1" x14ac:dyDescent="0.2">
      <c r="A31" s="1031" t="s">
        <v>84</v>
      </c>
      <c r="B31" s="1031"/>
      <c r="C31" s="1031"/>
      <c r="D31" s="1031"/>
      <c r="E31" s="1031"/>
      <c r="F31" s="1031"/>
    </row>
    <row r="32" spans="1:6" ht="12" customHeight="1" x14ac:dyDescent="0.2">
      <c r="A32" s="499"/>
      <c r="B32" s="499"/>
      <c r="C32" s="499"/>
      <c r="D32" s="499"/>
      <c r="E32" s="499"/>
      <c r="F32" s="499"/>
    </row>
    <row r="33" spans="1:6" ht="20.100000000000001" customHeight="1" x14ac:dyDescent="0.2">
      <c r="A33" s="1005" t="s">
        <v>126</v>
      </c>
      <c r="B33" s="1005"/>
      <c r="C33" s="1005"/>
      <c r="D33" s="1005"/>
      <c r="E33" s="499"/>
      <c r="F33" s="499"/>
    </row>
    <row r="34" spans="1:6" ht="12" customHeight="1" x14ac:dyDescent="0.2">
      <c r="A34" s="512"/>
      <c r="B34" s="512"/>
      <c r="C34" s="512"/>
      <c r="D34" s="512"/>
      <c r="E34" s="499"/>
      <c r="F34" s="499"/>
    </row>
    <row r="35" spans="1:6" ht="12.95" customHeight="1" x14ac:dyDescent="0.2">
      <c r="A35" s="1032" t="s">
        <v>451</v>
      </c>
      <c r="B35" s="1032"/>
      <c r="C35" s="1032"/>
      <c r="D35" s="1032"/>
      <c r="E35" s="1032"/>
      <c r="F35" s="1032"/>
    </row>
    <row r="36" spans="1:6" ht="12.95" customHeight="1" x14ac:dyDescent="0.2">
      <c r="A36" s="1032"/>
      <c r="B36" s="1032"/>
      <c r="C36" s="1032"/>
      <c r="D36" s="1032"/>
      <c r="E36" s="1032"/>
      <c r="F36" s="1032"/>
    </row>
    <row r="37" spans="1:6" ht="12.95" customHeight="1" x14ac:dyDescent="0.2">
      <c r="A37" s="1032"/>
      <c r="B37" s="1032"/>
      <c r="C37" s="1032"/>
      <c r="D37" s="1032"/>
      <c r="E37" s="1032"/>
      <c r="F37" s="1032"/>
    </row>
    <row r="38" spans="1:6" ht="21.75" customHeight="1" x14ac:dyDescent="0.2">
      <c r="A38" s="1032"/>
      <c r="B38" s="1032"/>
      <c r="C38" s="1032"/>
      <c r="D38" s="1032"/>
      <c r="E38" s="1032"/>
      <c r="F38" s="1032"/>
    </row>
    <row r="39" spans="1:6" ht="15" customHeight="1" x14ac:dyDescent="0.2">
      <c r="A39" s="1033"/>
      <c r="B39" s="1033"/>
      <c r="C39" s="1034"/>
      <c r="D39" s="1034"/>
      <c r="E39" s="1034"/>
      <c r="F39" s="1034"/>
    </row>
    <row r="40" spans="1:6" ht="22.5" customHeight="1" x14ac:dyDescent="0.2">
      <c r="A40" s="1005" t="s">
        <v>455</v>
      </c>
      <c r="B40" s="1005"/>
      <c r="C40" s="1005"/>
      <c r="D40" s="1005"/>
      <c r="E40" s="1005"/>
      <c r="F40" s="1005"/>
    </row>
    <row r="41" spans="1:6" ht="27" customHeight="1" x14ac:dyDescent="0.2">
      <c r="A41" s="1027">
        <f>'DATOS '!H8</f>
        <v>0</v>
      </c>
      <c r="B41" s="1027"/>
      <c r="C41" s="1027">
        <f>'DATOS '!G8</f>
        <v>0</v>
      </c>
      <c r="D41" s="1027"/>
      <c r="E41" s="493"/>
      <c r="F41" s="554"/>
    </row>
    <row r="42" spans="1:6" ht="15" customHeight="1" x14ac:dyDescent="0.2">
      <c r="A42" s="502"/>
      <c r="B42" s="503"/>
      <c r="C42" s="500"/>
      <c r="D42" s="494"/>
      <c r="E42" s="494"/>
      <c r="F42" s="494"/>
    </row>
    <row r="43" spans="1:6" ht="36" customHeight="1" x14ac:dyDescent="0.2">
      <c r="A43" s="502"/>
      <c r="B43" s="503"/>
      <c r="C43" s="536"/>
      <c r="D43" s="1045" t="s">
        <v>452</v>
      </c>
      <c r="E43" s="1045" t="s">
        <v>2</v>
      </c>
      <c r="F43" s="544" t="e">
        <f>F2</f>
        <v>#N/A</v>
      </c>
    </row>
    <row r="44" spans="1:6" ht="20.100000000000001" customHeight="1" x14ac:dyDescent="0.2">
      <c r="A44" s="1005" t="s">
        <v>130</v>
      </c>
      <c r="B44" s="1005"/>
      <c r="C44" s="1005"/>
      <c r="D44" s="594" t="s">
        <v>446</v>
      </c>
      <c r="E44" s="519"/>
      <c r="F44" s="494"/>
    </row>
    <row r="45" spans="1:6" ht="15" customHeight="1" x14ac:dyDescent="0.2">
      <c r="C45" s="494"/>
      <c r="D45" s="494"/>
      <c r="E45" s="494"/>
      <c r="F45" s="494"/>
    </row>
    <row r="46" spans="1:6" ht="20.100000000000001" customHeight="1" x14ac:dyDescent="0.2">
      <c r="A46" s="1003" t="s">
        <v>340</v>
      </c>
      <c r="B46" s="1003"/>
      <c r="C46" s="1003"/>
      <c r="D46" s="1003"/>
      <c r="E46" s="494"/>
      <c r="F46" s="494"/>
    </row>
    <row r="47" spans="1:6" ht="15" customHeight="1" thickBot="1" x14ac:dyDescent="0.25">
      <c r="A47" s="504"/>
      <c r="B47" s="504"/>
      <c r="C47" s="504"/>
      <c r="D47" s="494"/>
      <c r="E47" s="494"/>
      <c r="F47" s="494"/>
    </row>
    <row r="48" spans="1:6" ht="33" customHeight="1" thickBot="1" x14ac:dyDescent="0.25">
      <c r="A48" s="555" t="s">
        <v>85</v>
      </c>
      <c r="B48" s="556" t="s">
        <v>86</v>
      </c>
      <c r="C48" s="556" t="s">
        <v>87</v>
      </c>
      <c r="D48" s="494"/>
      <c r="E48" s="494"/>
      <c r="F48" s="494"/>
    </row>
    <row r="49" spans="1:6" ht="20.100000000000001" customHeight="1" thickBot="1" x14ac:dyDescent="0.25">
      <c r="A49" s="557">
        <f>'RT03-F12'!E65</f>
        <v>-0.39119999999999999</v>
      </c>
      <c r="B49" s="558">
        <f>'RT03-F12'!G65</f>
        <v>-6.5754000000000001</v>
      </c>
      <c r="C49" s="558">
        <f>'RT03-F12'!I65</f>
        <v>-1.3937999999999999</v>
      </c>
      <c r="D49" s="494"/>
      <c r="E49" s="494"/>
      <c r="F49" s="494"/>
    </row>
    <row r="50" spans="1:6" ht="15" customHeight="1" x14ac:dyDescent="0.2">
      <c r="A50" s="1022" t="s">
        <v>456</v>
      </c>
      <c r="B50" s="1022"/>
      <c r="C50" s="1022"/>
      <c r="D50" s="1022"/>
      <c r="E50" s="1022"/>
      <c r="F50" s="1022"/>
    </row>
    <row r="51" spans="1:6" ht="26.25" customHeight="1" x14ac:dyDescent="0.2">
      <c r="A51" s="504"/>
      <c r="B51" s="504"/>
      <c r="C51" s="504"/>
      <c r="D51" s="494"/>
      <c r="E51" s="494"/>
      <c r="F51" s="494"/>
    </row>
    <row r="52" spans="1:6" ht="20.100000000000001" customHeight="1" x14ac:dyDescent="0.2">
      <c r="A52" s="1005" t="s">
        <v>127</v>
      </c>
      <c r="B52" s="1005"/>
      <c r="C52" s="1005"/>
      <c r="D52" s="1005"/>
      <c r="E52" s="1005"/>
      <c r="F52" s="504"/>
    </row>
    <row r="53" spans="1:6" ht="12" customHeight="1" thickBot="1" x14ac:dyDescent="0.25">
      <c r="A53" s="501"/>
      <c r="B53" s="501"/>
      <c r="C53" s="501"/>
      <c r="D53" s="501"/>
      <c r="E53" s="504"/>
      <c r="F53" s="504"/>
    </row>
    <row r="54" spans="1:6" ht="15" customHeight="1" thickBot="1" x14ac:dyDescent="0.25">
      <c r="A54" s="1023" t="s">
        <v>138</v>
      </c>
      <c r="B54" s="1024"/>
      <c r="C54" s="559" t="e">
        <f>'RT03-F12'!I12</f>
        <v>#N/A</v>
      </c>
      <c r="D54" s="494"/>
      <c r="E54" s="494"/>
      <c r="F54" s="494"/>
    </row>
    <row r="55" spans="1:6" ht="15" customHeight="1" thickBot="1" x14ac:dyDescent="0.25">
      <c r="A55" s="1029" t="s">
        <v>88</v>
      </c>
      <c r="B55" s="1030"/>
      <c r="C55" s="560" t="e">
        <f>'RT03-F12'!I13</f>
        <v>#N/A</v>
      </c>
      <c r="D55" s="494"/>
      <c r="E55" s="494"/>
      <c r="F55" s="494"/>
    </row>
    <row r="56" spans="1:6" ht="15" customHeight="1" thickBot="1" x14ac:dyDescent="0.25">
      <c r="A56" s="1025" t="s">
        <v>137</v>
      </c>
      <c r="B56" s="1026"/>
      <c r="C56" s="561" t="e">
        <f>'RT03-F12'!I14</f>
        <v>#N/A</v>
      </c>
      <c r="D56" s="494"/>
      <c r="E56" s="494"/>
      <c r="F56" s="494"/>
    </row>
    <row r="57" spans="1:6" ht="15" customHeight="1" x14ac:dyDescent="0.2">
      <c r="A57" s="499"/>
      <c r="B57" s="505"/>
      <c r="C57" s="494"/>
      <c r="D57" s="494"/>
      <c r="E57" s="494"/>
      <c r="F57" s="494"/>
    </row>
    <row r="58" spans="1:6" ht="20.100000000000001" customHeight="1" x14ac:dyDescent="0.2">
      <c r="A58" s="1005" t="s">
        <v>128</v>
      </c>
      <c r="B58" s="1005"/>
      <c r="C58" s="1005"/>
      <c r="D58" s="1005"/>
      <c r="E58" s="504"/>
      <c r="F58" s="504"/>
    </row>
    <row r="59" spans="1:6" ht="12" customHeight="1" x14ac:dyDescent="0.2">
      <c r="A59" s="504"/>
      <c r="B59" s="504"/>
      <c r="C59" s="504"/>
      <c r="D59" s="504"/>
      <c r="E59" s="504"/>
      <c r="F59" s="504"/>
    </row>
    <row r="60" spans="1:6" ht="15" customHeight="1" x14ac:dyDescent="0.2">
      <c r="A60" s="1005" t="s">
        <v>91</v>
      </c>
      <c r="B60" s="1005"/>
      <c r="D60" s="504"/>
      <c r="E60" s="504"/>
      <c r="F60" s="504"/>
    </row>
    <row r="61" spans="1:6" ht="15" customHeight="1" thickBot="1" x14ac:dyDescent="0.25">
      <c r="A61" s="504"/>
      <c r="B61" s="504"/>
      <c r="C61" s="504"/>
      <c r="D61" s="494"/>
      <c r="E61" s="494"/>
      <c r="F61" s="494"/>
    </row>
    <row r="62" spans="1:6" ht="15" customHeight="1" thickBot="1" x14ac:dyDescent="0.25">
      <c r="A62" s="1015" t="s">
        <v>443</v>
      </c>
      <c r="B62" s="1016"/>
      <c r="C62" s="1017"/>
      <c r="D62" s="504"/>
      <c r="E62" s="504"/>
      <c r="F62" s="504"/>
    </row>
    <row r="63" spans="1:6" ht="15" customHeight="1" thickBot="1" x14ac:dyDescent="0.25">
      <c r="A63" s="562" t="str">
        <f>'RT03-F12'!C34</f>
        <v>Carga</v>
      </c>
      <c r="B63" s="563">
        <f>'RT03-F12'!E34</f>
        <v>0</v>
      </c>
      <c r="C63" s="564" t="str">
        <f>'RT03-F12'!D34</f>
        <v>(g)</v>
      </c>
      <c r="D63" s="504"/>
      <c r="E63" s="506" t="s">
        <v>90</v>
      </c>
      <c r="F63" s="504"/>
    </row>
    <row r="64" spans="1:6" ht="15" customHeight="1" thickBot="1" x14ac:dyDescent="0.25">
      <c r="A64" s="562" t="str">
        <f>'RT03-F12'!B35</f>
        <v>Posición</v>
      </c>
      <c r="B64" s="564" t="str">
        <f>'RT03-F12'!B36</f>
        <v>Indicación (g)</v>
      </c>
      <c r="C64" s="565" t="s">
        <v>151</v>
      </c>
      <c r="D64" s="504"/>
      <c r="E64" s="504"/>
      <c r="F64" s="504"/>
    </row>
    <row r="65" spans="1:6" ht="20.100000000000001" customHeight="1" x14ac:dyDescent="0.2">
      <c r="A65" s="566">
        <f>'RT03-F12'!C35</f>
        <v>1</v>
      </c>
      <c r="B65" s="567">
        <f>'RT03-F12'!C36</f>
        <v>0</v>
      </c>
      <c r="C65" s="568">
        <f>'RT03-F12'!C37</f>
        <v>0</v>
      </c>
      <c r="D65" s="504"/>
      <c r="F65" s="504"/>
    </row>
    <row r="66" spans="1:6" ht="20.100000000000001" customHeight="1" x14ac:dyDescent="0.2">
      <c r="A66" s="566">
        <f>'RT03-F12'!D35</f>
        <v>2</v>
      </c>
      <c r="B66" s="569">
        <f>'RT03-F12'!D36</f>
        <v>0</v>
      </c>
      <c r="C66" s="569">
        <f>'RT03-F12'!D37</f>
        <v>0</v>
      </c>
      <c r="D66" s="504"/>
      <c r="E66" s="504"/>
      <c r="F66" s="504"/>
    </row>
    <row r="67" spans="1:6" ht="20.100000000000001" customHeight="1" x14ac:dyDescent="0.2">
      <c r="A67" s="570">
        <f>'RT03-F12'!E35</f>
        <v>3</v>
      </c>
      <c r="B67" s="569">
        <f>'RT03-F12'!E36</f>
        <v>0</v>
      </c>
      <c r="C67" s="569">
        <f>'RT03-F12'!E37</f>
        <v>0</v>
      </c>
      <c r="D67" s="504"/>
      <c r="E67" s="504"/>
      <c r="F67" s="504"/>
    </row>
    <row r="68" spans="1:6" ht="20.100000000000001" customHeight="1" x14ac:dyDescent="0.2">
      <c r="A68" s="570">
        <f>'RT03-F12'!F35</f>
        <v>4</v>
      </c>
      <c r="B68" s="569">
        <f>'RT03-F12'!F36</f>
        <v>0</v>
      </c>
      <c r="C68" s="569">
        <f>'RT03-F12'!F37</f>
        <v>0</v>
      </c>
      <c r="D68" s="504"/>
      <c r="E68" s="504"/>
      <c r="F68" s="504"/>
    </row>
    <row r="69" spans="1:6" ht="20.100000000000001" customHeight="1" x14ac:dyDescent="0.2">
      <c r="A69" s="570">
        <f>'RT03-F12'!G35</f>
        <v>5</v>
      </c>
      <c r="B69" s="569">
        <f>'RT03-F12'!G36</f>
        <v>0</v>
      </c>
      <c r="C69" s="569">
        <f>'RT03-F12'!G37</f>
        <v>0</v>
      </c>
      <c r="D69" s="504"/>
      <c r="E69" s="504"/>
      <c r="F69" s="504"/>
    </row>
    <row r="70" spans="1:6" ht="20.100000000000001" customHeight="1" x14ac:dyDescent="0.2">
      <c r="A70" s="571" t="str">
        <f>'[4]PRUEBAS DE CALIBRACION'!F18</f>
        <v>DIF MAX EXC</v>
      </c>
      <c r="B70" s="569">
        <f>'RT03-F12'!C39</f>
        <v>0</v>
      </c>
      <c r="C70" s="572" t="s">
        <v>129</v>
      </c>
      <c r="D70" s="504"/>
      <c r="E70" s="504"/>
      <c r="F70" s="504"/>
    </row>
    <row r="71" spans="1:6" ht="15" customHeight="1" x14ac:dyDescent="0.2">
      <c r="A71" s="500"/>
      <c r="B71" s="507"/>
      <c r="C71" s="503"/>
      <c r="D71" s="504"/>
      <c r="E71" s="504"/>
      <c r="F71" s="504"/>
    </row>
    <row r="72" spans="1:6" ht="15" customHeight="1" x14ac:dyDescent="0.2">
      <c r="A72" s="1011" t="s">
        <v>457</v>
      </c>
      <c r="B72" s="1011"/>
      <c r="C72" s="1011"/>
      <c r="D72" s="1011"/>
      <c r="E72" s="1011"/>
      <c r="F72" s="1011"/>
    </row>
    <row r="73" spans="1:6" ht="15" customHeight="1" x14ac:dyDescent="0.2">
      <c r="A73" s="1011"/>
      <c r="B73" s="1011"/>
      <c r="C73" s="1011"/>
      <c r="D73" s="1011"/>
      <c r="E73" s="1011"/>
      <c r="F73" s="1011"/>
    </row>
    <row r="74" spans="1:6" ht="15" customHeight="1" x14ac:dyDescent="0.2">
      <c r="A74" s="1011"/>
      <c r="B74" s="1011"/>
      <c r="C74" s="1011"/>
      <c r="D74" s="1011"/>
      <c r="E74" s="1011"/>
      <c r="F74" s="1011"/>
    </row>
    <row r="75" spans="1:6" ht="15" customHeight="1" x14ac:dyDescent="0.2">
      <c r="A75" s="508"/>
      <c r="B75" s="508"/>
      <c r="C75" s="508"/>
      <c r="D75" s="508"/>
      <c r="E75" s="508"/>
      <c r="F75" s="508"/>
    </row>
    <row r="76" spans="1:6" ht="15" customHeight="1" x14ac:dyDescent="0.2">
      <c r="D76" s="1044" t="s">
        <v>452</v>
      </c>
      <c r="E76" s="1044"/>
      <c r="F76" s="592" t="e">
        <f>F2</f>
        <v>#N/A</v>
      </c>
    </row>
    <row r="77" spans="1:6" ht="15" customHeight="1" x14ac:dyDescent="0.2">
      <c r="A77" s="1005" t="s">
        <v>93</v>
      </c>
      <c r="B77" s="1005"/>
      <c r="E77" s="500"/>
      <c r="F77" s="500"/>
    </row>
    <row r="78" spans="1:6" ht="15" customHeight="1" thickBot="1" x14ac:dyDescent="0.25">
      <c r="E78" s="500"/>
    </row>
    <row r="79" spans="1:6" ht="15" customHeight="1" thickBot="1" x14ac:dyDescent="0.25">
      <c r="A79" s="1018" t="s">
        <v>444</v>
      </c>
      <c r="B79" s="1019"/>
      <c r="C79" s="1019"/>
      <c r="D79" s="1020"/>
      <c r="E79" s="500"/>
      <c r="F79" s="500"/>
    </row>
    <row r="80" spans="1:6" ht="20.100000000000001" customHeight="1" thickBot="1" x14ac:dyDescent="0.25">
      <c r="A80" s="580" t="str">
        <f>'RT03-F12'!A43</f>
        <v>Cargas (g)</v>
      </c>
      <c r="B80" s="581">
        <f>'RT03-F12'!A44</f>
        <v>0</v>
      </c>
      <c r="C80" s="581">
        <f>'RT03-F12'!A45</f>
        <v>0</v>
      </c>
      <c r="D80" s="581">
        <f>'RT03-F12'!A46</f>
        <v>0</v>
      </c>
      <c r="E80" s="500"/>
      <c r="F80" s="500"/>
    </row>
    <row r="81" spans="1:6" ht="23.25" customHeight="1" thickBot="1" x14ac:dyDescent="0.25">
      <c r="A81" s="582" t="s">
        <v>458</v>
      </c>
      <c r="B81" s="582" t="s">
        <v>92</v>
      </c>
      <c r="C81" s="582" t="s">
        <v>92</v>
      </c>
      <c r="D81" s="582" t="s">
        <v>92</v>
      </c>
      <c r="E81" s="500"/>
      <c r="F81" s="500"/>
    </row>
    <row r="82" spans="1:6" ht="20.100000000000001" customHeight="1" x14ac:dyDescent="0.2">
      <c r="A82" s="566">
        <f>'RT03-F12'!B43</f>
        <v>1</v>
      </c>
      <c r="B82" s="568">
        <f>'RT03-F12'!B44</f>
        <v>0</v>
      </c>
      <c r="C82" s="568">
        <f>'RT03-F12'!B45</f>
        <v>0</v>
      </c>
      <c r="D82" s="568">
        <f>'RT03-F12'!B46</f>
        <v>0</v>
      </c>
      <c r="E82" s="500"/>
      <c r="F82" s="500"/>
    </row>
    <row r="83" spans="1:6" ht="20.100000000000001" customHeight="1" x14ac:dyDescent="0.2">
      <c r="A83" s="566">
        <f>'RT03-F12'!C43</f>
        <v>2</v>
      </c>
      <c r="B83" s="569">
        <f>'RT03-F12'!C44</f>
        <v>0</v>
      </c>
      <c r="C83" s="569">
        <f>'RT03-F12'!C45</f>
        <v>0</v>
      </c>
      <c r="D83" s="569">
        <f>'RT03-F12'!C46</f>
        <v>0</v>
      </c>
      <c r="E83" s="500"/>
      <c r="F83" s="500"/>
    </row>
    <row r="84" spans="1:6" ht="20.100000000000001" customHeight="1" x14ac:dyDescent="0.2">
      <c r="A84" s="566">
        <f>'RT03-F12'!D43</f>
        <v>3</v>
      </c>
      <c r="B84" s="569">
        <f>'RT03-F12'!D44</f>
        <v>0</v>
      </c>
      <c r="C84" s="569">
        <f>'RT03-F12'!D45</f>
        <v>0</v>
      </c>
      <c r="D84" s="569">
        <f>'RT03-F12'!D46</f>
        <v>0</v>
      </c>
      <c r="E84" s="500"/>
      <c r="F84" s="500"/>
    </row>
    <row r="85" spans="1:6" ht="20.100000000000001" customHeight="1" x14ac:dyDescent="0.2">
      <c r="A85" s="566">
        <f>'RT03-F12'!E43</f>
        <v>4</v>
      </c>
      <c r="B85" s="569">
        <f>'RT03-F12'!E44</f>
        <v>0</v>
      </c>
      <c r="C85" s="569">
        <f>'RT03-F12'!E45</f>
        <v>0</v>
      </c>
      <c r="D85" s="569">
        <f>'RT03-F12'!E46</f>
        <v>0</v>
      </c>
      <c r="E85" s="500"/>
      <c r="F85" s="500"/>
    </row>
    <row r="86" spans="1:6" ht="20.100000000000001" customHeight="1" x14ac:dyDescent="0.2">
      <c r="A86" s="566">
        <f>'RT03-F12'!F43</f>
        <v>5</v>
      </c>
      <c r="B86" s="569">
        <f>'RT03-F12'!F44</f>
        <v>0</v>
      </c>
      <c r="C86" s="569">
        <f>'RT03-F12'!F45</f>
        <v>0</v>
      </c>
      <c r="D86" s="569">
        <f>'RT03-F12'!F46</f>
        <v>0</v>
      </c>
      <c r="E86" s="500"/>
      <c r="F86" s="500"/>
    </row>
    <row r="87" spans="1:6" ht="20.100000000000001" customHeight="1" x14ac:dyDescent="0.2">
      <c r="A87" s="566">
        <f>'RT03-F12'!G43</f>
        <v>6</v>
      </c>
      <c r="B87" s="569">
        <f>'RT03-F12'!G44</f>
        <v>0</v>
      </c>
      <c r="C87" s="569">
        <f>'RT03-F12'!G45</f>
        <v>0</v>
      </c>
      <c r="D87" s="569">
        <f>'RT03-F12'!G46</f>
        <v>0</v>
      </c>
      <c r="E87" s="500"/>
      <c r="F87" s="500"/>
    </row>
    <row r="88" spans="1:6" ht="20.100000000000001" customHeight="1" x14ac:dyDescent="0.2">
      <c r="A88" s="566">
        <f>'RT03-F12'!H43</f>
        <v>7</v>
      </c>
      <c r="B88" s="569">
        <f>'RT03-F12'!H44</f>
        <v>0</v>
      </c>
      <c r="C88" s="569">
        <f>'RT03-F12'!H45</f>
        <v>0</v>
      </c>
      <c r="D88" s="569">
        <f>'RT03-F12'!H46</f>
        <v>0</v>
      </c>
      <c r="E88" s="500"/>
      <c r="F88" s="500"/>
    </row>
    <row r="89" spans="1:6" ht="20.100000000000001" customHeight="1" x14ac:dyDescent="0.2">
      <c r="A89" s="566">
        <f>'RT03-F12'!I43</f>
        <v>8</v>
      </c>
      <c r="B89" s="569">
        <f>'RT03-F12'!I44</f>
        <v>0</v>
      </c>
      <c r="C89" s="569">
        <f>'RT03-F12'!I45</f>
        <v>0</v>
      </c>
      <c r="D89" s="569">
        <f>'RT03-F12'!I46</f>
        <v>0</v>
      </c>
      <c r="E89" s="500"/>
      <c r="F89" s="500"/>
    </row>
    <row r="90" spans="1:6" ht="20.100000000000001" customHeight="1" x14ac:dyDescent="0.2">
      <c r="A90" s="566">
        <f>'RT03-F12'!J43</f>
        <v>9</v>
      </c>
      <c r="B90" s="569">
        <f>'RT03-F12'!J44</f>
        <v>0</v>
      </c>
      <c r="C90" s="569">
        <f>'RT03-F12'!J45</f>
        <v>0</v>
      </c>
      <c r="D90" s="569">
        <f>'RT03-F12'!J46</f>
        <v>0</v>
      </c>
      <c r="E90" s="500"/>
      <c r="F90" s="500"/>
    </row>
    <row r="91" spans="1:6" ht="20.100000000000001" customHeight="1" x14ac:dyDescent="0.2">
      <c r="A91" s="566">
        <f>'RT03-F12'!K43</f>
        <v>10</v>
      </c>
      <c r="B91" s="569">
        <f>'RT03-F12'!K44</f>
        <v>0</v>
      </c>
      <c r="C91" s="569">
        <f>'RT03-F12'!K45</f>
        <v>0</v>
      </c>
      <c r="D91" s="569">
        <f>'RT03-F12'!K46</f>
        <v>0</v>
      </c>
      <c r="E91" s="504"/>
      <c r="F91" s="504"/>
    </row>
    <row r="92" spans="1:6" ht="15" customHeight="1" x14ac:dyDescent="0.2">
      <c r="A92" s="494"/>
      <c r="B92" s="494"/>
      <c r="C92" s="494"/>
      <c r="D92" s="504"/>
      <c r="E92" s="504"/>
      <c r="F92" s="504"/>
    </row>
    <row r="93" spans="1:6" ht="15" customHeight="1" x14ac:dyDescent="0.2">
      <c r="A93" s="1021" t="s">
        <v>441</v>
      </c>
      <c r="B93" s="1021"/>
      <c r="C93" s="1021"/>
      <c r="D93" s="1021"/>
      <c r="E93" s="1021"/>
      <c r="F93" s="1021"/>
    </row>
    <row r="94" spans="1:6" ht="15" customHeight="1" x14ac:dyDescent="0.2">
      <c r="A94" s="1021"/>
      <c r="B94" s="1021"/>
      <c r="C94" s="1021"/>
      <c r="D94" s="1021"/>
      <c r="E94" s="1021"/>
      <c r="F94" s="1021"/>
    </row>
    <row r="95" spans="1:6" ht="15" customHeight="1" x14ac:dyDescent="0.2">
      <c r="A95" s="1021"/>
      <c r="B95" s="1021"/>
      <c r="C95" s="1021"/>
      <c r="D95" s="1021"/>
      <c r="E95" s="1021"/>
      <c r="F95" s="1021"/>
    </row>
    <row r="96" spans="1:6" ht="15" customHeight="1" x14ac:dyDescent="0.2">
      <c r="A96" s="1021"/>
      <c r="B96" s="1021"/>
      <c r="C96" s="1021"/>
      <c r="D96" s="1021"/>
      <c r="E96" s="1021"/>
      <c r="F96" s="1021"/>
    </row>
    <row r="97" spans="1:6" ht="15" customHeight="1" x14ac:dyDescent="0.2">
      <c r="E97" s="504"/>
      <c r="F97" s="504"/>
    </row>
    <row r="98" spans="1:6" ht="15" customHeight="1" x14ac:dyDescent="0.2">
      <c r="A98" s="1005" t="s">
        <v>445</v>
      </c>
      <c r="B98" s="1005"/>
      <c r="C98" s="1005"/>
      <c r="D98" s="1005"/>
      <c r="E98" s="494"/>
      <c r="F98" s="494"/>
    </row>
    <row r="99" spans="1:6" ht="15" customHeight="1" thickBot="1" x14ac:dyDescent="0.25"/>
    <row r="100" spans="1:6" ht="15" customHeight="1" thickBot="1" x14ac:dyDescent="0.25">
      <c r="A100" s="1012" t="s">
        <v>440</v>
      </c>
      <c r="B100" s="1013"/>
      <c r="C100" s="1014"/>
      <c r="D100" s="494"/>
      <c r="E100" s="494"/>
      <c r="F100" s="494"/>
    </row>
    <row r="101" spans="1:6" ht="29.25" customHeight="1" thickBot="1" x14ac:dyDescent="0.25">
      <c r="A101" s="583" t="s">
        <v>18</v>
      </c>
      <c r="B101" s="584" t="s">
        <v>154</v>
      </c>
      <c r="C101" s="573" t="s">
        <v>382</v>
      </c>
      <c r="D101" s="494"/>
      <c r="E101" s="494"/>
      <c r="F101" s="494"/>
    </row>
    <row r="102" spans="1:6" ht="19.5" customHeight="1" x14ac:dyDescent="0.2">
      <c r="A102" s="574" t="e">
        <f>'RT03-F12'!B55</f>
        <v>#N/A</v>
      </c>
      <c r="B102" s="575">
        <f>'RT03-F12'!C55</f>
        <v>0</v>
      </c>
      <c r="C102" s="576" t="e">
        <f>'RT03-F12'!D55</f>
        <v>#N/A</v>
      </c>
      <c r="D102" s="494"/>
      <c r="E102" s="494"/>
      <c r="F102" s="494"/>
    </row>
    <row r="103" spans="1:6" ht="20.100000000000001" customHeight="1" x14ac:dyDescent="0.2">
      <c r="A103" s="577" t="e">
        <f>'RT03-F12'!B56</f>
        <v>#N/A</v>
      </c>
      <c r="B103" s="578">
        <f>'RT03-F12'!C56</f>
        <v>0</v>
      </c>
      <c r="C103" s="576" t="e">
        <f>'RT03-F12'!D56</f>
        <v>#N/A</v>
      </c>
      <c r="D103" s="494"/>
      <c r="E103" s="494"/>
      <c r="F103" s="494"/>
    </row>
    <row r="104" spans="1:6" ht="20.100000000000001" customHeight="1" x14ac:dyDescent="0.2">
      <c r="A104" s="577" t="e">
        <f>'RT03-F12'!B57</f>
        <v>#N/A</v>
      </c>
      <c r="B104" s="578">
        <f>'RT03-F12'!C57</f>
        <v>0</v>
      </c>
      <c r="C104" s="576" t="e">
        <f>'RT03-F12'!D57</f>
        <v>#N/A</v>
      </c>
      <c r="D104" s="494"/>
      <c r="E104" s="494"/>
      <c r="F104" s="494"/>
    </row>
    <row r="105" spans="1:6" ht="20.100000000000001" customHeight="1" x14ac:dyDescent="0.2">
      <c r="A105" s="577" t="e">
        <f>'RT03-F12'!B58</f>
        <v>#N/A</v>
      </c>
      <c r="B105" s="578">
        <f>'RT03-F12'!C58</f>
        <v>0</v>
      </c>
      <c r="C105" s="579" t="e">
        <f>'RT03-F12'!D58</f>
        <v>#N/A</v>
      </c>
      <c r="D105" s="494"/>
      <c r="E105" s="494"/>
      <c r="F105" s="494"/>
    </row>
    <row r="106" spans="1:6" ht="20.100000000000001" customHeight="1" x14ac:dyDescent="0.2">
      <c r="A106" s="577" t="e">
        <f>'RT03-F12'!B59</f>
        <v>#N/A</v>
      </c>
      <c r="B106" s="578">
        <f>'RT03-F12'!C59</f>
        <v>0</v>
      </c>
      <c r="C106" s="579" t="e">
        <f>'RT03-F12'!D59</f>
        <v>#N/A</v>
      </c>
      <c r="D106" s="494"/>
      <c r="E106" s="494"/>
      <c r="F106" s="494"/>
    </row>
    <row r="107" spans="1:6" ht="15.95" customHeight="1" x14ac:dyDescent="0.2">
      <c r="A107" s="509"/>
      <c r="B107" s="509"/>
      <c r="C107" s="509"/>
      <c r="D107" s="494"/>
      <c r="E107" s="494"/>
      <c r="F107" s="509"/>
    </row>
    <row r="108" spans="1:6" ht="15.95" customHeight="1" thickBot="1" x14ac:dyDescent="0.25">
      <c r="A108" s="509"/>
      <c r="B108" s="509"/>
      <c r="C108" s="509"/>
      <c r="D108" s="1007" t="s">
        <v>452</v>
      </c>
      <c r="E108" s="1007"/>
      <c r="F108" s="539" t="e">
        <f>F2</f>
        <v>#N/A</v>
      </c>
    </row>
    <row r="109" spans="1:6" ht="15.95" customHeight="1" thickBot="1" x14ac:dyDescent="0.25">
      <c r="A109" s="1012" t="s">
        <v>442</v>
      </c>
      <c r="B109" s="1013"/>
      <c r="C109" s="1014"/>
    </row>
    <row r="110" spans="1:6" ht="15.95" customHeight="1" thickBot="1" x14ac:dyDescent="0.25">
      <c r="A110" s="590" t="str">
        <f>'RT03-F12'!B54</f>
        <v>Cargas (g)</v>
      </c>
      <c r="B110" s="582" t="s">
        <v>334</v>
      </c>
      <c r="C110" s="582" t="s">
        <v>333</v>
      </c>
      <c r="E110" s="537"/>
    </row>
    <row r="111" spans="1:6" ht="15.95" customHeight="1" x14ac:dyDescent="0.2">
      <c r="A111" s="585" t="e">
        <f>'RT03-F12'!B55</f>
        <v>#N/A</v>
      </c>
      <c r="B111" s="586" t="e">
        <f>'RT03-F12'!K55</f>
        <v>#DIV/0!</v>
      </c>
      <c r="C111" s="586" t="e">
        <f>'RT03-F12'!F105</f>
        <v>#DIV/0!</v>
      </c>
      <c r="E111" s="537"/>
    </row>
    <row r="112" spans="1:6" ht="15.95" customHeight="1" x14ac:dyDescent="0.2">
      <c r="A112" s="587" t="e">
        <f>'RT03-F12'!B56</f>
        <v>#N/A</v>
      </c>
      <c r="B112" s="586" t="e">
        <f>'RT03-F12'!K56</f>
        <v>#DIV/0!</v>
      </c>
      <c r="C112" s="586" t="e">
        <f>'RT03-F12'!G105</f>
        <v>#DIV/0!</v>
      </c>
      <c r="E112" s="537"/>
    </row>
    <row r="113" spans="1:6" ht="15.95" customHeight="1" x14ac:dyDescent="0.2">
      <c r="A113" s="588" t="e">
        <f>'RT03-F12'!B57</f>
        <v>#N/A</v>
      </c>
      <c r="B113" s="586" t="e">
        <f>'RT03-F12'!K57</f>
        <v>#DIV/0!</v>
      </c>
      <c r="C113" s="586" t="e">
        <f>'RT03-F12'!H105</f>
        <v>#DIV/0!</v>
      </c>
      <c r="E113" s="537"/>
    </row>
    <row r="114" spans="1:6" ht="15.95" customHeight="1" x14ac:dyDescent="0.2">
      <c r="A114" s="587" t="e">
        <f>'RT03-F12'!B58</f>
        <v>#N/A</v>
      </c>
      <c r="B114" s="589" t="e">
        <f>'RT03-F12'!K58</f>
        <v>#DIV/0!</v>
      </c>
      <c r="C114" s="589" t="e">
        <f>'RT03-F12'!I105</f>
        <v>#DIV/0!</v>
      </c>
      <c r="D114" s="500"/>
      <c r="E114" s="537"/>
      <c r="F114" s="500"/>
    </row>
    <row r="115" spans="1:6" ht="15.95" customHeight="1" x14ac:dyDescent="0.2">
      <c r="A115" s="588" t="e">
        <f>'RT03-F12'!B59</f>
        <v>#N/A</v>
      </c>
      <c r="B115" s="589" t="e">
        <f>'RT03-F12'!K59</f>
        <v>#DIV/0!</v>
      </c>
      <c r="C115" s="589" t="e">
        <f>'RT03-F12'!J105</f>
        <v>#DIV/0!</v>
      </c>
      <c r="D115" s="500"/>
      <c r="E115" s="537"/>
      <c r="F115" s="500"/>
    </row>
    <row r="116" spans="1:6" ht="15.95" customHeight="1" x14ac:dyDescent="0.2">
      <c r="A116" s="545"/>
      <c r="B116" s="546"/>
      <c r="C116" s="546"/>
      <c r="D116" s="500"/>
      <c r="E116" s="537"/>
      <c r="F116" s="500"/>
    </row>
    <row r="117" spans="1:6" ht="15.95" customHeight="1" x14ac:dyDescent="0.2">
      <c r="A117" s="510"/>
      <c r="B117" s="503"/>
      <c r="C117" s="503"/>
      <c r="D117" s="500"/>
      <c r="E117" s="537"/>
      <c r="F117" s="500"/>
    </row>
    <row r="118" spans="1:6" ht="15" customHeight="1" x14ac:dyDescent="0.2">
      <c r="A118" s="509"/>
      <c r="B118" s="503"/>
      <c r="C118" s="503"/>
      <c r="D118" s="494"/>
      <c r="E118" s="494"/>
      <c r="F118" s="494"/>
    </row>
    <row r="119" spans="1:6" ht="15" customHeight="1" x14ac:dyDescent="0.2">
      <c r="A119" s="500"/>
      <c r="B119" s="511"/>
      <c r="C119" s="500"/>
      <c r="D119" s="500"/>
      <c r="E119" s="500"/>
      <c r="F119" s="500"/>
    </row>
    <row r="120" spans="1:6" ht="15" customHeight="1" x14ac:dyDescent="0.2">
      <c r="A120" s="500"/>
      <c r="B120" s="500"/>
      <c r="C120" s="500"/>
      <c r="D120" s="500"/>
      <c r="E120" s="500"/>
      <c r="F120" s="500"/>
    </row>
    <row r="121" spans="1:6" ht="15" customHeight="1" x14ac:dyDescent="0.2">
      <c r="A121" s="500"/>
      <c r="B121" s="500"/>
      <c r="C121" s="500"/>
      <c r="D121" s="500"/>
      <c r="E121" s="500"/>
      <c r="F121" s="500"/>
    </row>
    <row r="122" spans="1:6" ht="15" customHeight="1" x14ac:dyDescent="0.2">
      <c r="A122" s="500"/>
      <c r="B122" s="500"/>
      <c r="C122" s="500"/>
      <c r="D122" s="500"/>
      <c r="E122" s="500"/>
      <c r="F122" s="500"/>
    </row>
    <row r="123" spans="1:6" ht="15" customHeight="1" x14ac:dyDescent="0.2">
      <c r="A123" s="500"/>
      <c r="B123" s="500"/>
      <c r="C123" s="500"/>
      <c r="D123" s="500"/>
      <c r="E123" s="500"/>
      <c r="F123" s="500"/>
    </row>
    <row r="124" spans="1:6" ht="15" customHeight="1" x14ac:dyDescent="0.2">
      <c r="A124" s="500"/>
      <c r="B124" s="500"/>
      <c r="C124" s="500"/>
      <c r="D124" s="500"/>
      <c r="E124" s="500"/>
      <c r="F124" s="500"/>
    </row>
    <row r="125" spans="1:6" ht="15" customHeight="1" x14ac:dyDescent="0.2">
      <c r="A125" s="500"/>
      <c r="B125" s="500"/>
      <c r="C125" s="500"/>
      <c r="D125" s="500"/>
      <c r="E125" s="500"/>
      <c r="F125" s="500"/>
    </row>
    <row r="126" spans="1:6" ht="15" customHeight="1" x14ac:dyDescent="0.2">
      <c r="A126" s="500"/>
      <c r="B126" s="500"/>
      <c r="C126" s="500"/>
      <c r="D126" s="500"/>
      <c r="E126" s="500"/>
      <c r="F126" s="500"/>
    </row>
    <row r="127" spans="1:6" ht="15" customHeight="1" x14ac:dyDescent="0.2">
      <c r="A127" s="500"/>
      <c r="B127" s="500"/>
      <c r="C127" s="500"/>
      <c r="D127" s="500"/>
      <c r="E127" s="500"/>
      <c r="F127" s="500"/>
    </row>
    <row r="128" spans="1:6" ht="15" customHeight="1" x14ac:dyDescent="0.2">
      <c r="A128" s="500"/>
      <c r="B128" s="500"/>
      <c r="C128" s="500"/>
      <c r="D128" s="500"/>
      <c r="E128" s="500"/>
      <c r="F128" s="500"/>
    </row>
    <row r="129" spans="1:6" ht="15" customHeight="1" x14ac:dyDescent="0.2">
      <c r="A129" s="500"/>
      <c r="B129" s="500"/>
      <c r="C129" s="500"/>
      <c r="D129" s="500"/>
      <c r="E129" s="500"/>
      <c r="F129" s="500"/>
    </row>
    <row r="130" spans="1:6" ht="15" customHeight="1" x14ac:dyDescent="0.2">
      <c r="A130" s="500"/>
      <c r="B130" s="500"/>
      <c r="C130" s="500"/>
      <c r="D130" s="500"/>
      <c r="E130" s="500"/>
      <c r="F130" s="500"/>
    </row>
    <row r="131" spans="1:6" ht="15" customHeight="1" x14ac:dyDescent="0.2">
      <c r="D131" s="494"/>
      <c r="E131" s="494"/>
      <c r="F131" s="494"/>
    </row>
    <row r="132" spans="1:6" ht="15" customHeight="1" x14ac:dyDescent="0.2">
      <c r="A132" s="494"/>
      <c r="B132" s="494"/>
      <c r="C132" s="494"/>
      <c r="D132" s="494"/>
      <c r="E132" s="494"/>
      <c r="F132" s="494"/>
    </row>
    <row r="133" spans="1:6" ht="15" customHeight="1" x14ac:dyDescent="0.2">
      <c r="A133" s="494"/>
      <c r="B133" s="494"/>
      <c r="C133" s="494"/>
      <c r="D133" s="494"/>
      <c r="E133" s="494"/>
      <c r="F133" s="494"/>
    </row>
    <row r="134" spans="1:6" ht="15" customHeight="1" x14ac:dyDescent="0.2">
      <c r="A134" s="494"/>
      <c r="B134" s="494"/>
      <c r="C134" s="494"/>
      <c r="D134" s="494"/>
      <c r="E134" s="494"/>
      <c r="F134" s="494"/>
    </row>
    <row r="135" spans="1:6" ht="15" customHeight="1" x14ac:dyDescent="0.2">
      <c r="A135" s="494"/>
      <c r="B135" s="494"/>
      <c r="C135" s="494"/>
      <c r="D135" s="494"/>
      <c r="E135" s="494"/>
      <c r="F135" s="494"/>
    </row>
    <row r="136" spans="1:6" ht="15" customHeight="1" x14ac:dyDescent="0.2">
      <c r="A136" s="1004" t="s">
        <v>381</v>
      </c>
      <c r="B136" s="1004"/>
      <c r="C136" s="1004"/>
      <c r="D136" s="1004"/>
      <c r="E136" s="1004"/>
      <c r="F136" s="1004"/>
    </row>
    <row r="137" spans="1:6" ht="15" customHeight="1" x14ac:dyDescent="0.2">
      <c r="A137" s="1004"/>
      <c r="B137" s="1004"/>
      <c r="C137" s="1004"/>
      <c r="D137" s="1004"/>
      <c r="E137" s="1004"/>
      <c r="F137" s="1004"/>
    </row>
    <row r="138" spans="1:6" ht="12" customHeight="1" x14ac:dyDescent="0.2">
      <c r="A138" s="508"/>
      <c r="B138" s="508"/>
      <c r="C138" s="508"/>
      <c r="D138" s="508"/>
      <c r="E138" s="508"/>
      <c r="F138" s="508"/>
    </row>
    <row r="139" spans="1:6" ht="20.100000000000001" customHeight="1" x14ac:dyDescent="0.2">
      <c r="A139" s="1005" t="s">
        <v>155</v>
      </c>
      <c r="B139" s="1005"/>
      <c r="C139" s="1005"/>
      <c r="D139" s="494"/>
      <c r="E139" s="494"/>
      <c r="F139" s="494"/>
    </row>
    <row r="140" spans="1:6" ht="12" customHeight="1" x14ac:dyDescent="0.2">
      <c r="A140" s="504"/>
      <c r="B140" s="504"/>
      <c r="C140" s="504"/>
      <c r="D140" s="494"/>
      <c r="E140" s="494"/>
      <c r="F140" s="494"/>
    </row>
    <row r="141" spans="1:6" ht="15" customHeight="1" x14ac:dyDescent="0.2">
      <c r="A141" s="1006" t="s">
        <v>65</v>
      </c>
      <c r="B141" s="1006"/>
      <c r="C141" s="1006"/>
      <c r="D141" s="1006"/>
      <c r="E141" s="1006"/>
      <c r="F141" s="1006"/>
    </row>
    <row r="142" spans="1:6" ht="15" customHeight="1" x14ac:dyDescent="0.2">
      <c r="A142" s="513"/>
      <c r="B142" s="513"/>
      <c r="C142" s="513"/>
      <c r="D142" s="513"/>
      <c r="E142" s="513"/>
      <c r="F142" s="513"/>
    </row>
    <row r="143" spans="1:6" ht="20.100000000000001" customHeight="1" x14ac:dyDescent="0.2">
      <c r="B143" s="493" t="s">
        <v>395</v>
      </c>
      <c r="C143" s="540" t="e">
        <f>'RT03-F12'!F137</f>
        <v>#DIV/0!</v>
      </c>
      <c r="D143" s="514" t="s">
        <v>71</v>
      </c>
      <c r="E143" s="493"/>
      <c r="F143" s="493"/>
    </row>
    <row r="144" spans="1:6" ht="15" customHeight="1" x14ac:dyDescent="0.2">
      <c r="A144" s="510"/>
      <c r="E144" s="500"/>
      <c r="F144" s="500"/>
    </row>
    <row r="145" spans="1:6" ht="15" customHeight="1" x14ac:dyDescent="0.2">
      <c r="A145" s="1003" t="s">
        <v>131</v>
      </c>
      <c r="B145" s="1003"/>
      <c r="C145" s="1003"/>
      <c r="D145" s="1003"/>
      <c r="E145" s="1003"/>
      <c r="F145" s="500"/>
    </row>
    <row r="146" spans="1:6" ht="36" customHeight="1" x14ac:dyDescent="0.2">
      <c r="B146" s="515" t="s">
        <v>118</v>
      </c>
      <c r="C146" s="516">
        <f>'RT03-F12'!H119</f>
        <v>2</v>
      </c>
      <c r="D146" s="517" t="s">
        <v>439</v>
      </c>
    </row>
    <row r="147" spans="1:6" ht="15" customHeight="1" x14ac:dyDescent="0.2">
      <c r="A147" s="513"/>
      <c r="B147" s="513"/>
      <c r="C147" s="513"/>
      <c r="D147" s="515"/>
      <c r="E147" s="518"/>
      <c r="F147" s="517"/>
    </row>
    <row r="148" spans="1:6" ht="15" customHeight="1" x14ac:dyDescent="0.2">
      <c r="A148" s="503" t="s">
        <v>333</v>
      </c>
      <c r="B148" s="503" t="e">
        <f>'RT03-F12'!F140</f>
        <v>#N/A</v>
      </c>
      <c r="C148" s="500" t="s">
        <v>447</v>
      </c>
      <c r="D148" s="520" t="e">
        <f>'RT03-F12'!H140</f>
        <v>#N/A</v>
      </c>
      <c r="E148" s="503" t="str">
        <f>D143</f>
        <v>R (g)</v>
      </c>
    </row>
    <row r="149" spans="1:6" ht="15" customHeight="1" x14ac:dyDescent="0.2">
      <c r="A149" s="500"/>
      <c r="B149" s="509"/>
      <c r="C149" s="519"/>
      <c r="D149" s="500"/>
      <c r="E149" s="520"/>
    </row>
    <row r="150" spans="1:6" ht="15" customHeight="1" x14ac:dyDescent="0.2">
      <c r="A150" s="500"/>
      <c r="B150" s="509"/>
      <c r="C150" s="519"/>
      <c r="D150" s="1044" t="s">
        <v>452</v>
      </c>
      <c r="E150" s="1044"/>
      <c r="F150" s="593" t="e">
        <f>F2</f>
        <v>#N/A</v>
      </c>
    </row>
    <row r="151" spans="1:6" ht="15" customHeight="1" x14ac:dyDescent="0.2">
      <c r="A151" s="500"/>
      <c r="B151" s="509"/>
      <c r="C151" s="519"/>
      <c r="D151" s="500"/>
      <c r="E151" s="520"/>
    </row>
    <row r="152" spans="1:6" ht="15" customHeight="1" x14ac:dyDescent="0.2">
      <c r="A152" s="1008" t="s">
        <v>94</v>
      </c>
      <c r="B152" s="1008"/>
      <c r="C152" s="1008"/>
      <c r="D152" s="1008"/>
      <c r="E152" s="1008"/>
      <c r="F152" s="1008"/>
    </row>
    <row r="153" spans="1:6" ht="15" customHeight="1" x14ac:dyDescent="0.2">
      <c r="A153" s="1008"/>
      <c r="B153" s="1008"/>
      <c r="C153" s="1008"/>
      <c r="D153" s="1008"/>
      <c r="E153" s="1008"/>
      <c r="F153" s="1008"/>
    </row>
    <row r="154" spans="1:6" ht="15" customHeight="1" x14ac:dyDescent="0.2">
      <c r="A154" s="519"/>
      <c r="B154" s="519"/>
      <c r="C154" s="519"/>
      <c r="D154" s="519"/>
      <c r="E154" s="519"/>
      <c r="F154" s="519"/>
    </row>
    <row r="155" spans="1:6" ht="15" customHeight="1" x14ac:dyDescent="0.2">
      <c r="A155" s="508"/>
      <c r="B155" s="508"/>
      <c r="C155" s="508"/>
      <c r="D155" s="508"/>
      <c r="E155" s="508"/>
      <c r="F155" s="508"/>
    </row>
    <row r="156" spans="1:6" ht="15" customHeight="1" x14ac:dyDescent="0.2">
      <c r="A156" s="508"/>
      <c r="B156" s="508"/>
      <c r="C156" s="508"/>
      <c r="D156" s="508"/>
      <c r="E156" s="508"/>
      <c r="F156" s="508"/>
    </row>
    <row r="157" spans="1:6" ht="15" customHeight="1" thickBot="1" x14ac:dyDescent="0.25">
      <c r="A157" s="508"/>
      <c r="B157" s="508"/>
      <c r="C157" s="508"/>
      <c r="D157" s="521"/>
      <c r="E157" s="521"/>
      <c r="F157" s="521"/>
    </row>
    <row r="158" spans="1:6" ht="15" customHeight="1" thickBot="1" x14ac:dyDescent="0.25">
      <c r="A158" s="541" t="s">
        <v>448</v>
      </c>
      <c r="B158" s="1009" t="s">
        <v>449</v>
      </c>
      <c r="C158" s="1010"/>
      <c r="D158" s="1010"/>
      <c r="E158" s="511"/>
      <c r="F158" s="499"/>
    </row>
    <row r="159" spans="1:6" ht="15" customHeight="1" thickBot="1" x14ac:dyDescent="0.25">
      <c r="A159" s="542" t="s">
        <v>95</v>
      </c>
      <c r="B159" s="1009" t="s">
        <v>96</v>
      </c>
      <c r="C159" s="1010"/>
      <c r="D159" s="1010"/>
      <c r="E159" s="499"/>
      <c r="F159" s="508"/>
    </row>
    <row r="160" spans="1:6" ht="15" customHeight="1" thickBot="1" x14ac:dyDescent="0.25">
      <c r="A160" s="543" t="s">
        <v>97</v>
      </c>
      <c r="B160" s="1009" t="s">
        <v>98</v>
      </c>
      <c r="C160" s="1010"/>
      <c r="D160" s="1010"/>
      <c r="E160" s="499"/>
      <c r="F160" s="499"/>
    </row>
    <row r="161" spans="1:6" ht="12" customHeight="1" x14ac:dyDescent="0.2">
      <c r="E161" s="499"/>
      <c r="F161" s="499"/>
    </row>
    <row r="162" spans="1:6" ht="20.100000000000001" customHeight="1" x14ac:dyDescent="0.2">
      <c r="A162" s="1005" t="s">
        <v>153</v>
      </c>
      <c r="B162" s="1005"/>
      <c r="C162" s="1005"/>
      <c r="D162" s="1005"/>
      <c r="F162" s="499"/>
    </row>
    <row r="163" spans="1:6" ht="12" customHeight="1" x14ac:dyDescent="0.2">
      <c r="D163" s="494"/>
      <c r="E163" s="494"/>
      <c r="F163" s="494"/>
    </row>
    <row r="164" spans="1:6" ht="15" customHeight="1" x14ac:dyDescent="0.2">
      <c r="A164" s="1011" t="s">
        <v>465</v>
      </c>
      <c r="B164" s="1011"/>
      <c r="C164" s="1011"/>
      <c r="D164" s="1011"/>
      <c r="E164" s="1011"/>
      <c r="F164" s="1011"/>
    </row>
    <row r="165" spans="1:6" ht="15" customHeight="1" x14ac:dyDescent="0.2">
      <c r="A165" s="1011"/>
      <c r="B165" s="1011"/>
      <c r="C165" s="1011"/>
      <c r="D165" s="1011"/>
      <c r="E165" s="1011"/>
      <c r="F165" s="1011"/>
    </row>
    <row r="166" spans="1:6" ht="18" customHeight="1" x14ac:dyDescent="0.2">
      <c r="A166" s="1011"/>
      <c r="B166" s="1011"/>
      <c r="C166" s="1011"/>
      <c r="D166" s="1011"/>
      <c r="E166" s="1011"/>
      <c r="F166" s="1011"/>
    </row>
    <row r="167" spans="1:6" ht="15" customHeight="1" x14ac:dyDescent="0.2">
      <c r="A167" s="522"/>
      <c r="B167" s="522"/>
      <c r="C167" s="522"/>
      <c r="D167" s="522"/>
      <c r="E167" s="522"/>
      <c r="F167" s="522"/>
    </row>
    <row r="168" spans="1:6" ht="20.100000000000001" customHeight="1" x14ac:dyDescent="0.2">
      <c r="A168" s="1003" t="s">
        <v>132</v>
      </c>
      <c r="B168" s="1003"/>
      <c r="C168" s="1003"/>
      <c r="D168" s="522"/>
      <c r="E168" s="522"/>
      <c r="F168" s="522"/>
    </row>
    <row r="169" spans="1:6" ht="24.95" customHeight="1" x14ac:dyDescent="0.2">
      <c r="A169" s="1046"/>
      <c r="B169" s="1046"/>
      <c r="C169" s="1046"/>
      <c r="D169" s="1046"/>
      <c r="E169" s="1046"/>
      <c r="F169" s="1046"/>
    </row>
    <row r="170" spans="1:6" ht="24.95" customHeight="1" x14ac:dyDescent="0.2">
      <c r="A170" s="1046"/>
      <c r="B170" s="1046"/>
      <c r="C170" s="1046"/>
      <c r="D170" s="1046"/>
      <c r="E170" s="1046"/>
      <c r="F170" s="1046"/>
    </row>
    <row r="171" spans="1:6" ht="20.100000000000001" customHeight="1" x14ac:dyDescent="0.2">
      <c r="A171" s="1046"/>
      <c r="B171" s="1046"/>
      <c r="C171" s="1046"/>
      <c r="D171" s="1046"/>
      <c r="E171" s="1046"/>
      <c r="F171" s="1046"/>
    </row>
    <row r="172" spans="1:6" ht="15" customHeight="1" x14ac:dyDescent="0.2">
      <c r="A172" s="1046"/>
      <c r="B172" s="1046"/>
      <c r="C172" s="1046"/>
      <c r="D172" s="1046"/>
      <c r="E172" s="1046"/>
      <c r="F172" s="1046"/>
    </row>
    <row r="173" spans="1:6" ht="27" customHeight="1" x14ac:dyDescent="0.2">
      <c r="A173" s="1046"/>
      <c r="B173" s="1046"/>
      <c r="C173" s="1046"/>
      <c r="D173" s="1046"/>
      <c r="E173" s="1046"/>
      <c r="F173" s="1046"/>
    </row>
    <row r="174" spans="1:6" ht="15" customHeight="1" x14ac:dyDescent="0.2">
      <c r="A174" s="1046"/>
      <c r="B174" s="1046"/>
      <c r="C174" s="1046"/>
      <c r="D174" s="1046"/>
      <c r="E174" s="1046"/>
      <c r="F174" s="1046"/>
    </row>
    <row r="175" spans="1:6" ht="15" customHeight="1" x14ac:dyDescent="0.2">
      <c r="A175" s="1046"/>
      <c r="B175" s="1046"/>
      <c r="C175" s="1046"/>
      <c r="D175" s="1046"/>
      <c r="E175" s="1046"/>
      <c r="F175" s="1046"/>
    </row>
    <row r="176" spans="1:6" ht="15" customHeight="1" x14ac:dyDescent="0.2">
      <c r="A176" s="1046"/>
      <c r="B176" s="1046"/>
      <c r="C176" s="1046"/>
      <c r="D176" s="1046"/>
      <c r="E176" s="1046"/>
      <c r="F176" s="1046"/>
    </row>
    <row r="177" spans="1:6" ht="15" customHeight="1" x14ac:dyDescent="0.2">
      <c r="A177" s="523"/>
      <c r="B177" s="523"/>
      <c r="C177" s="524"/>
      <c r="D177" s="494"/>
      <c r="E177" s="494"/>
      <c r="F177" s="494"/>
    </row>
    <row r="178" spans="1:6" ht="20.100000000000001" customHeight="1" x14ac:dyDescent="0.2">
      <c r="A178" s="999" t="s">
        <v>461</v>
      </c>
      <c r="B178" s="999"/>
      <c r="C178" s="526"/>
    </row>
    <row r="179" spans="1:6" ht="15" customHeight="1" x14ac:dyDescent="0.2">
      <c r="B179" s="525"/>
      <c r="C179" s="526"/>
    </row>
    <row r="180" spans="1:6" ht="15" customHeight="1" x14ac:dyDescent="0.2">
      <c r="A180" s="490" t="s">
        <v>99</v>
      </c>
      <c r="B180" s="490"/>
      <c r="C180" s="591"/>
      <c r="D180" s="1000" t="s">
        <v>133</v>
      </c>
      <c r="E180" s="1000"/>
      <c r="F180" s="1000"/>
    </row>
    <row r="181" spans="1:6" ht="15" customHeight="1" x14ac:dyDescent="0.2">
      <c r="A181" s="1001" t="s">
        <v>135</v>
      </c>
      <c r="B181" s="1001"/>
      <c r="C181" s="1001"/>
      <c r="D181" s="1002" t="s">
        <v>459</v>
      </c>
      <c r="E181" s="1002"/>
      <c r="F181" s="591"/>
    </row>
    <row r="182" spans="1:6" ht="20.25" customHeight="1" x14ac:dyDescent="0.2">
      <c r="A182" s="996" t="e">
        <f>VLOOKUP($C$180,'DATOS '!$D$158:$H$162,4,FALSE)</f>
        <v>#N/A</v>
      </c>
      <c r="B182" s="996"/>
      <c r="C182" s="996"/>
      <c r="D182" s="996" t="e">
        <f>VLOOKUP($F$181,'DATOS '!$D$158:$H$162,4,FALSE)</f>
        <v>#N/A</v>
      </c>
      <c r="E182" s="996"/>
      <c r="F182" s="996"/>
    </row>
    <row r="183" spans="1:6" ht="15" customHeight="1" x14ac:dyDescent="0.2">
      <c r="A183" s="996" t="e">
        <f>VLOOKUP($C$180,'DATOS '!$D$158:$H$162,2,FALSE)</f>
        <v>#N/A</v>
      </c>
      <c r="B183" s="996"/>
      <c r="C183" s="996"/>
      <c r="D183" s="996" t="e">
        <f>VLOOKUP($F$181,'DATOS '!$D$158:$H$162,2,FALSE)</f>
        <v>#N/A</v>
      </c>
      <c r="E183" s="996"/>
      <c r="F183" s="996"/>
    </row>
    <row r="185" spans="1:6" s="374" customFormat="1" ht="9.9499999999999993" customHeight="1" x14ac:dyDescent="0.25">
      <c r="B185" s="997" t="s">
        <v>136</v>
      </c>
      <c r="C185" s="997"/>
      <c r="D185" s="997"/>
      <c r="E185" s="997"/>
    </row>
    <row r="186" spans="1:6" ht="15" customHeight="1" x14ac:dyDescent="0.2">
      <c r="B186" s="527"/>
      <c r="C186" s="527"/>
      <c r="D186" s="527"/>
      <c r="E186" s="527"/>
    </row>
  </sheetData>
  <sheetProtection algorithmName="SHA-512" hashValue="wRSltUaR25GCGqwTJ4wBI7QBIOjBJaJsJHfmOkHOaqIaH/cQyCDNnxDufIAenctLghNZhlkkr47FsLxk4n4mJQ==" saltValue="M1veDYU05EgYEOcgwUyIpQ==" spinCount="100000" sheet="1" objects="1" scenarios="1"/>
  <mergeCells count="79">
    <mergeCell ref="A12:B12"/>
    <mergeCell ref="A3:C3"/>
    <mergeCell ref="A5:B5"/>
    <mergeCell ref="C5:F5"/>
    <mergeCell ref="A6:B6"/>
    <mergeCell ref="C6:D6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5:B15"/>
    <mergeCell ref="D15:E15"/>
    <mergeCell ref="A17:C17"/>
    <mergeCell ref="A19:B19"/>
    <mergeCell ref="A20:B20"/>
    <mergeCell ref="A21:B21"/>
    <mergeCell ref="A27:F27"/>
    <mergeCell ref="A29:D29"/>
    <mergeCell ref="A22:B22"/>
    <mergeCell ref="A24:B24"/>
    <mergeCell ref="C24:E24"/>
    <mergeCell ref="A26:C26"/>
    <mergeCell ref="A60:B60"/>
    <mergeCell ref="A41:B41"/>
    <mergeCell ref="C41:D41"/>
    <mergeCell ref="A50:F50"/>
    <mergeCell ref="A31:F31"/>
    <mergeCell ref="A33:D33"/>
    <mergeCell ref="A35:F38"/>
    <mergeCell ref="A39:B39"/>
    <mergeCell ref="C39:F39"/>
    <mergeCell ref="A40:F40"/>
    <mergeCell ref="A183:C183"/>
    <mergeCell ref="D183:F183"/>
    <mergeCell ref="B185:E185"/>
    <mergeCell ref="A168:C168"/>
    <mergeCell ref="A169:F176"/>
    <mergeCell ref="D180:F180"/>
    <mergeCell ref="D181:E181"/>
    <mergeCell ref="A181:C181"/>
    <mergeCell ref="A178:B178"/>
    <mergeCell ref="A162:D162"/>
    <mergeCell ref="D2:E2"/>
    <mergeCell ref="D43:E43"/>
    <mergeCell ref="D76:E76"/>
    <mergeCell ref="A182:C182"/>
    <mergeCell ref="D182:F182"/>
    <mergeCell ref="A152:F153"/>
    <mergeCell ref="B158:D158"/>
    <mergeCell ref="B159:D159"/>
    <mergeCell ref="B160:D160"/>
    <mergeCell ref="A164:F166"/>
    <mergeCell ref="A100:C100"/>
    <mergeCell ref="A109:C109"/>
    <mergeCell ref="A136:F137"/>
    <mergeCell ref="A139:C139"/>
    <mergeCell ref="A141:F141"/>
    <mergeCell ref="D150:E150"/>
    <mergeCell ref="A44:C44"/>
    <mergeCell ref="A46:D46"/>
    <mergeCell ref="A52:E52"/>
    <mergeCell ref="A145:E145"/>
    <mergeCell ref="D108:E108"/>
    <mergeCell ref="A62:C62"/>
    <mergeCell ref="A72:F74"/>
    <mergeCell ref="A77:B77"/>
    <mergeCell ref="A79:D79"/>
    <mergeCell ref="A93:F96"/>
    <mergeCell ref="A98:D98"/>
    <mergeCell ref="A54:B54"/>
    <mergeCell ref="A55:B55"/>
    <mergeCell ref="A56:B56"/>
    <mergeCell ref="A58:D58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&amp;"-,Negrita"&amp;12  
                &amp;16 &amp;12 &amp;"Arial Narrow,Negrita"&amp;14SUPLEMENTO DE CERTIFICADO DE CALIBRACIÓN 
             DE  BALANZAS&amp;R&amp;"-,Negrita"&amp;12
             </oddHeader>
    <oddFooter>&amp;R&amp;8  
RT03-F39  Vr 3(2018-08-15)
&amp;P de &amp;N</oddFooter>
  </headerFooter>
  <rowBreaks count="4" manualBreakCount="4">
    <brk id="42" max="16383" man="1"/>
    <brk id="75" max="16383" man="1"/>
    <brk id="107" max="16383" man="1"/>
    <brk id="1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'!$D$158:$D$160</xm:f>
          </x14:formula1>
          <xm:sqref>C180</xm:sqref>
        </x14:dataValidation>
        <x14:dataValidation type="list" allowBlank="1" showInputMessage="1" showErrorMessage="1">
          <x14:formula1>
            <xm:f>'DATOS '!$D$158:$D$162</xm:f>
          </x14:formula1>
          <xm:sqref>F181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DATOS 1</vt:lpstr>
      <vt:lpstr>DATOS </vt:lpstr>
      <vt:lpstr>RT03-F12</vt:lpstr>
      <vt:lpstr>RT03-F15 </vt:lpstr>
      <vt:lpstr>RT03-F39</vt:lpstr>
      <vt:lpstr>'DATOS '!Print_Area</vt:lpstr>
      <vt:lpstr>'DATOS 1'!Print_Area</vt:lpstr>
      <vt:lpstr>'RT03-F12'!Print_Area</vt:lpstr>
      <vt:lpstr>'RT03-F12'!Print_Titles</vt:lpstr>
      <vt:lpstr>'RT03-F15 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2018-08-15T20:17:49Z</cp:lastPrinted>
  <dcterms:created xsi:type="dcterms:W3CDTF">2016-06-28T20:23:39Z</dcterms:created>
  <dcterms:modified xsi:type="dcterms:W3CDTF">2018-08-16T13:00:34Z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1836568</vt:i4>
  </property>
</Properties>
</file>